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Valhall_Langstone_Experiments\Valhall_Langstone_Data\Surface_Profilometry\Surface_Profilometry_Valhall_Langstone\"/>
    </mc:Choice>
  </mc:AlternateContent>
  <xr:revisionPtr revIDLastSave="0" documentId="13_ncr:1_{0C35015F-8BEC-412B-BC6D-03053E9B49E8}" xr6:coauthVersionLast="47" xr6:coauthVersionMax="47" xr10:uidLastSave="{00000000-0000-0000-0000-000000000000}"/>
  <bookViews>
    <workbookView xWindow="-28920" yWindow="-120" windowWidth="29040" windowHeight="16440" activeTab="2" xr2:uid="{5AAD6EB5-A945-4724-B45D-2E36715C566C}"/>
  </bookViews>
  <sheets>
    <sheet name="Control_Coupons" sheetId="1" r:id="rId1"/>
    <sheet name="Control_Pits" sheetId="3" r:id="rId2"/>
    <sheet name="Test_Coupons" sheetId="2" r:id="rId3"/>
    <sheet name="Test_Pit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H49" i="2"/>
  <c r="J49" i="2"/>
  <c r="J49" i="1"/>
  <c r="O49" i="2"/>
  <c r="O49" i="1"/>
  <c r="Q49" i="1"/>
  <c r="Q49" i="2"/>
  <c r="P26" i="1"/>
  <c r="E46" i="2"/>
  <c r="D46" i="2"/>
  <c r="E45" i="2"/>
  <c r="D45" i="2"/>
  <c r="E44" i="2"/>
  <c r="D44" i="2"/>
  <c r="E43" i="2"/>
  <c r="D43" i="2"/>
  <c r="E42" i="2"/>
  <c r="D42" i="2"/>
  <c r="E38" i="2"/>
  <c r="D38" i="2"/>
  <c r="E37" i="2"/>
  <c r="D37" i="2"/>
  <c r="E36" i="2"/>
  <c r="D36" i="2"/>
  <c r="E35" i="2"/>
  <c r="D35" i="2"/>
  <c r="E34" i="2"/>
  <c r="D34" i="2"/>
  <c r="E30" i="2"/>
  <c r="D30" i="2"/>
  <c r="E29" i="2"/>
  <c r="D29" i="2"/>
  <c r="E28" i="2"/>
  <c r="D28" i="2"/>
  <c r="E27" i="2"/>
  <c r="D27" i="2"/>
  <c r="E26" i="2"/>
  <c r="D26" i="2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E22" i="2"/>
  <c r="D22" i="2"/>
  <c r="E21" i="2"/>
  <c r="D21" i="2"/>
  <c r="E20" i="2"/>
  <c r="D20" i="2"/>
  <c r="E19" i="2"/>
  <c r="D19" i="2"/>
  <c r="C10" i="4"/>
  <c r="E18" i="2"/>
  <c r="D18" i="2"/>
  <c r="C8" i="4"/>
  <c r="C7" i="4"/>
  <c r="C6" i="4"/>
  <c r="C5" i="4"/>
  <c r="E14" i="2"/>
  <c r="D14" i="2"/>
  <c r="E13" i="2"/>
  <c r="D13" i="2"/>
  <c r="E12" i="2"/>
  <c r="D12" i="2"/>
  <c r="E11" i="2"/>
  <c r="D11" i="2"/>
  <c r="E10" i="2"/>
  <c r="D10" i="2"/>
  <c r="E6" i="2"/>
  <c r="D6" i="2"/>
  <c r="E5" i="2"/>
  <c r="D5" i="2"/>
  <c r="E4" i="2"/>
  <c r="D4" i="2"/>
  <c r="C3" i="4"/>
  <c r="E3" i="2"/>
  <c r="D3" i="2"/>
  <c r="E2" i="2"/>
  <c r="D2" i="2"/>
  <c r="E46" i="1"/>
  <c r="D46" i="1"/>
  <c r="E45" i="1"/>
  <c r="D45" i="1"/>
  <c r="E44" i="1"/>
  <c r="D44" i="1"/>
  <c r="E43" i="1"/>
  <c r="D43" i="1"/>
  <c r="E42" i="1"/>
  <c r="D42" i="1"/>
  <c r="C35" i="3"/>
  <c r="C34" i="3"/>
  <c r="C33" i="3"/>
  <c r="C32" i="3"/>
  <c r="C31" i="3"/>
  <c r="E38" i="1"/>
  <c r="D38" i="1"/>
  <c r="E37" i="1"/>
  <c r="D37" i="1"/>
  <c r="C29" i="3"/>
  <c r="C28" i="3"/>
  <c r="C27" i="3"/>
  <c r="C26" i="3"/>
  <c r="E36" i="1"/>
  <c r="D36" i="1"/>
  <c r="E35" i="1"/>
  <c r="D35" i="1"/>
  <c r="E34" i="1"/>
  <c r="D34" i="1"/>
  <c r="E30" i="1"/>
  <c r="D30" i="1"/>
  <c r="E29" i="1"/>
  <c r="D29" i="1"/>
  <c r="E28" i="1"/>
  <c r="D28" i="1"/>
  <c r="E27" i="1"/>
  <c r="D27" i="1"/>
  <c r="E26" i="1"/>
  <c r="D26" i="1"/>
  <c r="E22" i="1"/>
  <c r="D22" i="1"/>
  <c r="C24" i="3"/>
  <c r="E21" i="1"/>
  <c r="D21" i="1"/>
  <c r="E20" i="1"/>
  <c r="D20" i="1"/>
  <c r="E19" i="1"/>
  <c r="D19" i="1"/>
  <c r="E18" i="1"/>
  <c r="D18" i="1"/>
  <c r="C18" i="3"/>
  <c r="C22" i="3"/>
  <c r="C21" i="3"/>
  <c r="C20" i="3"/>
  <c r="C19" i="3"/>
  <c r="E14" i="1"/>
  <c r="D14" i="1"/>
  <c r="E13" i="1"/>
  <c r="D13" i="1"/>
  <c r="E12" i="1"/>
  <c r="D12" i="1"/>
  <c r="E11" i="1"/>
  <c r="D11" i="1"/>
  <c r="E10" i="1"/>
  <c r="D10" i="1"/>
  <c r="C5" i="3"/>
  <c r="C6" i="3"/>
  <c r="C7" i="3"/>
  <c r="C8" i="3"/>
  <c r="C9" i="3"/>
  <c r="C10" i="3"/>
  <c r="C11" i="3"/>
  <c r="C12" i="3"/>
  <c r="C13" i="3"/>
  <c r="C14" i="3"/>
  <c r="C15" i="3"/>
  <c r="C16" i="3"/>
  <c r="E6" i="1"/>
  <c r="D6" i="1"/>
  <c r="E5" i="1"/>
  <c r="D5" i="1"/>
  <c r="E4" i="1"/>
  <c r="D4" i="1"/>
  <c r="E3" i="1" l="1"/>
  <c r="D3" i="1"/>
  <c r="E2" i="1"/>
  <c r="D2" i="1"/>
  <c r="C3" i="3"/>
  <c r="C4" i="3"/>
  <c r="O47" i="2"/>
  <c r="N47" i="2"/>
  <c r="M47" i="2"/>
  <c r="J47" i="2"/>
  <c r="H47" i="2"/>
  <c r="G47" i="2"/>
  <c r="E47" i="2"/>
  <c r="D47" i="2"/>
  <c r="C47" i="2"/>
  <c r="P46" i="2"/>
  <c r="Q46" i="2" s="1"/>
  <c r="K46" i="2"/>
  <c r="I46" i="2"/>
  <c r="F46" i="2"/>
  <c r="Q45" i="2"/>
  <c r="P45" i="2"/>
  <c r="I45" i="2"/>
  <c r="F45" i="2"/>
  <c r="P44" i="2"/>
  <c r="Q44" i="2" s="1"/>
  <c r="I44" i="2"/>
  <c r="F44" i="2"/>
  <c r="K44" i="2" s="1"/>
  <c r="P43" i="2"/>
  <c r="Q43" i="2" s="1"/>
  <c r="I43" i="2"/>
  <c r="F43" i="2"/>
  <c r="K43" i="2" s="1"/>
  <c r="P42" i="2"/>
  <c r="I42" i="2"/>
  <c r="F42" i="2"/>
  <c r="K42" i="2" s="1"/>
  <c r="O39" i="2"/>
  <c r="N39" i="2"/>
  <c r="M39" i="2"/>
  <c r="J39" i="2"/>
  <c r="H39" i="2"/>
  <c r="G39" i="2"/>
  <c r="E39" i="2"/>
  <c r="D39" i="2"/>
  <c r="C39" i="2"/>
  <c r="P38" i="2"/>
  <c r="Q38" i="2" s="1"/>
  <c r="I38" i="2"/>
  <c r="F38" i="2"/>
  <c r="K38" i="2" s="1"/>
  <c r="P37" i="2"/>
  <c r="Q37" i="2" s="1"/>
  <c r="I37" i="2"/>
  <c r="F37" i="2"/>
  <c r="K37" i="2" s="1"/>
  <c r="P36" i="2"/>
  <c r="Q36" i="2" s="1"/>
  <c r="I36" i="2"/>
  <c r="F36" i="2"/>
  <c r="K36" i="2" s="1"/>
  <c r="P35" i="2"/>
  <c r="Q35" i="2" s="1"/>
  <c r="K35" i="2"/>
  <c r="I35" i="2"/>
  <c r="F35" i="2"/>
  <c r="P34" i="2"/>
  <c r="Q34" i="2" s="1"/>
  <c r="I34" i="2"/>
  <c r="F34" i="2"/>
  <c r="O31" i="2"/>
  <c r="N31" i="2"/>
  <c r="M31" i="2"/>
  <c r="J31" i="2"/>
  <c r="H31" i="2"/>
  <c r="G31" i="2"/>
  <c r="E31" i="2"/>
  <c r="D31" i="2"/>
  <c r="C31" i="2"/>
  <c r="P30" i="2"/>
  <c r="Q30" i="2" s="1"/>
  <c r="I30" i="2"/>
  <c r="F30" i="2"/>
  <c r="K30" i="2" s="1"/>
  <c r="P29" i="2"/>
  <c r="Q29" i="2" s="1"/>
  <c r="I29" i="2"/>
  <c r="F29" i="2"/>
  <c r="K29" i="2" s="1"/>
  <c r="P28" i="2"/>
  <c r="Q28" i="2" s="1"/>
  <c r="I28" i="2"/>
  <c r="F28" i="2"/>
  <c r="P27" i="2"/>
  <c r="Q27" i="2" s="1"/>
  <c r="I27" i="2"/>
  <c r="F27" i="2"/>
  <c r="K27" i="2" s="1"/>
  <c r="P26" i="2"/>
  <c r="I26" i="2"/>
  <c r="I31" i="2" s="1"/>
  <c r="F26" i="2"/>
  <c r="K26" i="2" s="1"/>
  <c r="O23" i="2"/>
  <c r="N23" i="2"/>
  <c r="M23" i="2"/>
  <c r="J23" i="2"/>
  <c r="H23" i="2"/>
  <c r="G23" i="2"/>
  <c r="E23" i="2"/>
  <c r="D23" i="2"/>
  <c r="C23" i="2"/>
  <c r="P22" i="2"/>
  <c r="Q22" i="2" s="1"/>
  <c r="I22" i="2"/>
  <c r="F22" i="2"/>
  <c r="K22" i="2" s="1"/>
  <c r="P21" i="2"/>
  <c r="Q21" i="2" s="1"/>
  <c r="I21" i="2"/>
  <c r="F21" i="2"/>
  <c r="K21" i="2" s="1"/>
  <c r="P20" i="2"/>
  <c r="Q20" i="2" s="1"/>
  <c r="I20" i="2"/>
  <c r="F20" i="2"/>
  <c r="K20" i="2" s="1"/>
  <c r="P19" i="2"/>
  <c r="Q19" i="2" s="1"/>
  <c r="K19" i="2"/>
  <c r="I19" i="2"/>
  <c r="F19" i="2"/>
  <c r="Q18" i="2"/>
  <c r="P18" i="2"/>
  <c r="I18" i="2"/>
  <c r="F18" i="2"/>
  <c r="K18" i="2" s="1"/>
  <c r="O15" i="2"/>
  <c r="N15" i="2"/>
  <c r="M15" i="2"/>
  <c r="J15" i="2"/>
  <c r="H15" i="2"/>
  <c r="G15" i="2"/>
  <c r="E15" i="2"/>
  <c r="D15" i="2"/>
  <c r="C15" i="2"/>
  <c r="P14" i="2"/>
  <c r="Q14" i="2" s="1"/>
  <c r="I14" i="2"/>
  <c r="F14" i="2"/>
  <c r="K14" i="2" s="1"/>
  <c r="P13" i="2"/>
  <c r="Q13" i="2" s="1"/>
  <c r="I13" i="2"/>
  <c r="F13" i="2"/>
  <c r="K13" i="2" s="1"/>
  <c r="P12" i="2"/>
  <c r="Q12" i="2" s="1"/>
  <c r="I12" i="2"/>
  <c r="F12" i="2"/>
  <c r="Q11" i="2"/>
  <c r="P11" i="2"/>
  <c r="I11" i="2"/>
  <c r="F11" i="2"/>
  <c r="K11" i="2" s="1"/>
  <c r="P10" i="2"/>
  <c r="Q10" i="2" s="1"/>
  <c r="I10" i="2"/>
  <c r="F10" i="2"/>
  <c r="K10" i="2" s="1"/>
  <c r="O7" i="2"/>
  <c r="N7" i="2"/>
  <c r="M7" i="2"/>
  <c r="J7" i="2"/>
  <c r="H7" i="2"/>
  <c r="G7" i="2"/>
  <c r="E7" i="2"/>
  <c r="D7" i="2"/>
  <c r="C7" i="2"/>
  <c r="P6" i="2"/>
  <c r="Q6" i="2" s="1"/>
  <c r="I6" i="2"/>
  <c r="F6" i="2"/>
  <c r="K6" i="2" s="1"/>
  <c r="P5" i="2"/>
  <c r="Q5" i="2" s="1"/>
  <c r="K5" i="2"/>
  <c r="I5" i="2"/>
  <c r="F5" i="2"/>
  <c r="P4" i="2"/>
  <c r="Q4" i="2" s="1"/>
  <c r="I4" i="2"/>
  <c r="F4" i="2"/>
  <c r="K4" i="2" s="1"/>
  <c r="P3" i="2"/>
  <c r="Q3" i="2" s="1"/>
  <c r="I3" i="2"/>
  <c r="F3" i="2"/>
  <c r="K3" i="2" s="1"/>
  <c r="P2" i="2"/>
  <c r="Q2" i="2" s="1"/>
  <c r="I2" i="2"/>
  <c r="I7" i="2" s="1"/>
  <c r="F2" i="2"/>
  <c r="E7" i="1"/>
  <c r="F2" i="1"/>
  <c r="K2" i="1" s="1"/>
  <c r="I2" i="1"/>
  <c r="F3" i="1"/>
  <c r="K3" i="1" s="1"/>
  <c r="I3" i="1"/>
  <c r="F4" i="1"/>
  <c r="K4" i="1" s="1"/>
  <c r="I4" i="1"/>
  <c r="F5" i="1"/>
  <c r="K5" i="1" s="1"/>
  <c r="I5" i="1"/>
  <c r="F6" i="1"/>
  <c r="K6" i="1" s="1"/>
  <c r="I6" i="1"/>
  <c r="P2" i="1"/>
  <c r="Q2" i="1" s="1"/>
  <c r="P3" i="1"/>
  <c r="Q3" i="1" s="1"/>
  <c r="P4" i="1"/>
  <c r="Q4" i="1" s="1"/>
  <c r="P5" i="1"/>
  <c r="Q5" i="1" s="1"/>
  <c r="P6" i="1"/>
  <c r="Q6" i="1" s="1"/>
  <c r="F42" i="1"/>
  <c r="K42" i="1" s="1"/>
  <c r="I27" i="1"/>
  <c r="P46" i="1"/>
  <c r="Q46" i="1" s="1"/>
  <c r="P45" i="1"/>
  <c r="Q45" i="1" s="1"/>
  <c r="P44" i="1"/>
  <c r="Q44" i="1" s="1"/>
  <c r="P43" i="1"/>
  <c r="P42" i="1"/>
  <c r="Q42" i="1" s="1"/>
  <c r="P38" i="1"/>
  <c r="Q38" i="1" s="1"/>
  <c r="P37" i="1"/>
  <c r="Q37" i="1" s="1"/>
  <c r="P36" i="1"/>
  <c r="Q36" i="1" s="1"/>
  <c r="P35" i="1"/>
  <c r="Q35" i="1" s="1"/>
  <c r="P34" i="1"/>
  <c r="Q34" i="1" s="1"/>
  <c r="P30" i="1"/>
  <c r="Q30" i="1" s="1"/>
  <c r="P29" i="1"/>
  <c r="Q29" i="1" s="1"/>
  <c r="P28" i="1"/>
  <c r="Q28" i="1" s="1"/>
  <c r="P27" i="1"/>
  <c r="Q26" i="1"/>
  <c r="P22" i="1"/>
  <c r="Q22" i="1" s="1"/>
  <c r="P21" i="1"/>
  <c r="Q21" i="1" s="1"/>
  <c r="P20" i="1"/>
  <c r="Q20" i="1" s="1"/>
  <c r="P19" i="1"/>
  <c r="P18" i="1"/>
  <c r="Q18" i="1" s="1"/>
  <c r="P14" i="1"/>
  <c r="Q14" i="1" s="1"/>
  <c r="P13" i="1"/>
  <c r="Q13" i="1" s="1"/>
  <c r="P12" i="1"/>
  <c r="Q12" i="1" s="1"/>
  <c r="P11" i="1"/>
  <c r="Q11" i="1" s="1"/>
  <c r="P10" i="1"/>
  <c r="Q10" i="1" s="1"/>
  <c r="J47" i="1"/>
  <c r="H47" i="1"/>
  <c r="G47" i="1"/>
  <c r="D47" i="1"/>
  <c r="C47" i="1"/>
  <c r="I46" i="1"/>
  <c r="F46" i="1"/>
  <c r="K46" i="1" s="1"/>
  <c r="I45" i="1"/>
  <c r="F45" i="1"/>
  <c r="K45" i="1" s="1"/>
  <c r="I44" i="1"/>
  <c r="F44" i="1"/>
  <c r="I43" i="1"/>
  <c r="F43" i="1"/>
  <c r="K43" i="1" s="1"/>
  <c r="I42" i="1"/>
  <c r="J39" i="1"/>
  <c r="H39" i="1"/>
  <c r="G39" i="1"/>
  <c r="E39" i="1"/>
  <c r="D39" i="1"/>
  <c r="C39" i="1"/>
  <c r="I38" i="1"/>
  <c r="F38" i="1"/>
  <c r="K38" i="1" s="1"/>
  <c r="I37" i="1"/>
  <c r="F37" i="1"/>
  <c r="K37" i="1" s="1"/>
  <c r="I36" i="1"/>
  <c r="F36" i="1"/>
  <c r="I35" i="1"/>
  <c r="F35" i="1"/>
  <c r="K35" i="1" s="1"/>
  <c r="I34" i="1"/>
  <c r="F34" i="1"/>
  <c r="K34" i="1" s="1"/>
  <c r="J31" i="1"/>
  <c r="H31" i="1"/>
  <c r="G31" i="1"/>
  <c r="E31" i="1"/>
  <c r="D31" i="1"/>
  <c r="C31" i="1"/>
  <c r="I30" i="1"/>
  <c r="F30" i="1"/>
  <c r="K30" i="1" s="1"/>
  <c r="I29" i="1"/>
  <c r="F29" i="1"/>
  <c r="K29" i="1" s="1"/>
  <c r="I28" i="1"/>
  <c r="F28" i="1"/>
  <c r="K28" i="1" s="1"/>
  <c r="F27" i="1"/>
  <c r="K27" i="1" s="1"/>
  <c r="I26" i="1"/>
  <c r="F26" i="1"/>
  <c r="J23" i="1"/>
  <c r="H23" i="1"/>
  <c r="G23" i="1"/>
  <c r="E23" i="1"/>
  <c r="D23" i="1"/>
  <c r="C23" i="1"/>
  <c r="I22" i="1"/>
  <c r="F22" i="1"/>
  <c r="K22" i="1" s="1"/>
  <c r="I21" i="1"/>
  <c r="F21" i="1"/>
  <c r="K21" i="1" s="1"/>
  <c r="I20" i="1"/>
  <c r="F20" i="1"/>
  <c r="K20" i="1" s="1"/>
  <c r="I19" i="1"/>
  <c r="F19" i="1"/>
  <c r="K19" i="1" s="1"/>
  <c r="I18" i="1"/>
  <c r="F18" i="1"/>
  <c r="J15" i="1"/>
  <c r="H15" i="1"/>
  <c r="G15" i="1"/>
  <c r="E15" i="1"/>
  <c r="C15" i="1"/>
  <c r="I14" i="1"/>
  <c r="F14" i="1"/>
  <c r="K14" i="1" s="1"/>
  <c r="I13" i="1"/>
  <c r="F13" i="1"/>
  <c r="K13" i="1" s="1"/>
  <c r="I12" i="1"/>
  <c r="F12" i="1"/>
  <c r="K12" i="1" s="1"/>
  <c r="I11" i="1"/>
  <c r="F11" i="1"/>
  <c r="K11" i="1" s="1"/>
  <c r="I10" i="1"/>
  <c r="F10" i="1"/>
  <c r="D15" i="1"/>
  <c r="O47" i="1"/>
  <c r="N47" i="1"/>
  <c r="M47" i="1"/>
  <c r="O39" i="1"/>
  <c r="N39" i="1"/>
  <c r="M39" i="1"/>
  <c r="O31" i="1"/>
  <c r="N31" i="1"/>
  <c r="M31" i="1"/>
  <c r="O23" i="1"/>
  <c r="N23" i="1"/>
  <c r="M23" i="1"/>
  <c r="O15" i="1"/>
  <c r="N15" i="1"/>
  <c r="M15" i="1"/>
  <c r="N7" i="1"/>
  <c r="M7" i="1"/>
  <c r="O7" i="1"/>
  <c r="G7" i="1"/>
  <c r="H7" i="1"/>
  <c r="J7" i="1"/>
  <c r="C7" i="1"/>
  <c r="I47" i="2" l="1"/>
  <c r="F47" i="2"/>
  <c r="I39" i="2"/>
  <c r="F39" i="2"/>
  <c r="F31" i="2"/>
  <c r="I23" i="2"/>
  <c r="K23" i="2"/>
  <c r="I15" i="2"/>
  <c r="F15" i="2"/>
  <c r="F7" i="2"/>
  <c r="P47" i="2"/>
  <c r="P31" i="2"/>
  <c r="Q15" i="2"/>
  <c r="F31" i="1"/>
  <c r="Q39" i="2"/>
  <c r="Q23" i="2"/>
  <c r="Q7" i="2"/>
  <c r="P39" i="2"/>
  <c r="Q42" i="2"/>
  <c r="Q47" i="2" s="1"/>
  <c r="K2" i="2"/>
  <c r="K7" i="2" s="1"/>
  <c r="K34" i="2"/>
  <c r="K39" i="2" s="1"/>
  <c r="K12" i="2"/>
  <c r="K15" i="2" s="1"/>
  <c r="K28" i="2"/>
  <c r="K31" i="2" s="1"/>
  <c r="P7" i="2"/>
  <c r="P23" i="2"/>
  <c r="Q26" i="2"/>
  <c r="Q31" i="2" s="1"/>
  <c r="K45" i="2"/>
  <c r="K47" i="2" s="1"/>
  <c r="P15" i="2"/>
  <c r="F23" i="2"/>
  <c r="P23" i="1"/>
  <c r="F39" i="1"/>
  <c r="P47" i="1"/>
  <c r="P39" i="1"/>
  <c r="P31" i="1"/>
  <c r="I47" i="1"/>
  <c r="E47" i="1"/>
  <c r="F47" i="1"/>
  <c r="I39" i="1"/>
  <c r="I31" i="1"/>
  <c r="I7" i="1"/>
  <c r="F23" i="1"/>
  <c r="I23" i="1"/>
  <c r="K18" i="1"/>
  <c r="K23" i="1" s="1"/>
  <c r="I15" i="1"/>
  <c r="Q43" i="1"/>
  <c r="Q47" i="1" s="1"/>
  <c r="Q39" i="1"/>
  <c r="Q27" i="1"/>
  <c r="Q31" i="1" s="1"/>
  <c r="Q19" i="1"/>
  <c r="Q23" i="1" s="1"/>
  <c r="P15" i="1"/>
  <c r="Q15" i="1"/>
  <c r="K44" i="1"/>
  <c r="K47" i="1" s="1"/>
  <c r="K36" i="1"/>
  <c r="K39" i="1" s="1"/>
  <c r="K26" i="1"/>
  <c r="K31" i="1" s="1"/>
  <c r="F15" i="1"/>
  <c r="K10" i="1"/>
  <c r="K15" i="1" s="1"/>
  <c r="D7" i="1"/>
  <c r="Q7" i="1"/>
  <c r="P7" i="1"/>
  <c r="K7" i="1" l="1"/>
  <c r="F7" i="1"/>
</calcChain>
</file>

<file path=xl/sharedStrings.xml><?xml version="1.0" encoding="utf-8"?>
<sst xmlns="http://schemas.openxmlformats.org/spreadsheetml/2006/main" count="259" uniqueCount="44">
  <si>
    <t>Control</t>
  </si>
  <si>
    <t>n=</t>
  </si>
  <si>
    <t>Count</t>
  </si>
  <si>
    <t>Area (pixels^2)</t>
  </si>
  <si>
    <t>Area (um^2)</t>
  </si>
  <si>
    <t>Area (mm^2)</t>
  </si>
  <si>
    <t>Total_Pit_Area (um^2)</t>
  </si>
  <si>
    <t>Average_Size (um^2)</t>
  </si>
  <si>
    <t>Average_Size (mm^2)</t>
  </si>
  <si>
    <t>% Area</t>
  </si>
  <si>
    <t>Pit Frequency (pits/mm squared)</t>
  </si>
  <si>
    <t>Image</t>
  </si>
  <si>
    <t>Size Width (μm)</t>
  </si>
  <si>
    <t>Size Height (μm)</t>
  </si>
  <si>
    <t>Depth Of Measured Pit (μm)</t>
  </si>
  <si>
    <t>Depth (mm)</t>
  </si>
  <si>
    <t>Pitting Rate (mm/y)</t>
  </si>
  <si>
    <t>Pit</t>
  </si>
  <si>
    <t>20x</t>
  </si>
  <si>
    <t>AR_1</t>
  </si>
  <si>
    <t>AR_2</t>
  </si>
  <si>
    <t>AR_3</t>
  </si>
  <si>
    <r>
      <t xml:space="preserve">NB: </t>
    </r>
    <r>
      <rPr>
        <sz val="12"/>
        <color theme="1"/>
        <rFont val="Calibri"/>
        <family val="2"/>
        <scheme val="minor"/>
      </rPr>
      <t>Pit</t>
    </r>
  </si>
  <si>
    <t>Depth &gt; ca. 5 um</t>
  </si>
  <si>
    <t>Area &gt; 650 um^2</t>
  </si>
  <si>
    <t>96 dpi</t>
  </si>
  <si>
    <t>1 px = 0.264583333 mm</t>
  </si>
  <si>
    <t>264.583333 um</t>
  </si>
  <si>
    <t>2.26 pixels per um</t>
  </si>
  <si>
    <t>To convert pixel^2 to um^2</t>
  </si>
  <si>
    <t>Multiply by</t>
  </si>
  <si>
    <t>Test</t>
  </si>
  <si>
    <t>AR_4</t>
  </si>
  <si>
    <t>AR_5</t>
  </si>
  <si>
    <t>AR_6</t>
  </si>
  <si>
    <t>Valhall_20x_Control_Day28_AR_1_3D_Image_Pit_Roughness</t>
  </si>
  <si>
    <t>Valhall_20x_Control_Day28_AR_2_3D_Image_Pit_Roughness</t>
  </si>
  <si>
    <t>Valhall_20x_Control_Day28_AR_3_3D_Image_12_Roughness</t>
  </si>
  <si>
    <t>Valhall_20x_Control_Day28_AR_5_3D_Image_9_Roughness</t>
  </si>
  <si>
    <t>Valhall_20x_Control_Day28_AR_5_3D_Image_Pit_Roughness</t>
  </si>
  <si>
    <t>Valhall_20x_Test_Day28_AR_1_3D_Image_6_Roughness</t>
  </si>
  <si>
    <t>Valhall_20x_Test_Day28_AR_2_3D_Image_Pit_Roughness</t>
  </si>
  <si>
    <t>Valhall_20x_Test_Day28_AR_3_3D_Image_3_Roughness</t>
  </si>
  <si>
    <t>Valhall_20x_Test_Day28_AR_3_3D_Image_Pit_Roughness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</si>
</sst>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%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0" fillId="2" borderId="5" xfId="0" applyFill="1" applyBorder="1"/>
    <xf numFmtId="0" fontId="0" fillId="0" borderId="1" xfId="0" applyBorder="1" applyAlignment="1">
      <alignment horizontal="center"/>
    </xf>
    <xf numFmtId="164" fontId="0" fillId="2" borderId="1" xfId="0" applyNumberFormat="1" applyFill="1" applyBorder="1"/>
    <xf numFmtId="0" fontId="0" fillId="0" borderId="12" xfId="0" applyBorder="1" applyAlignment="1">
      <alignment horizontal="center"/>
    </xf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E6CC-D677-4AC6-A035-4DF336C672F1}">
  <dimension ref="A1:Q59"/>
  <sheetViews>
    <sheetView topLeftCell="A15" zoomScaleNormal="100" workbookViewId="0">
      <selection activeCell="H50" sqref="H50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16" t="s">
        <v>19</v>
      </c>
      <c r="B2" s="7">
        <v>1</v>
      </c>
      <c r="C2">
        <v>0</v>
      </c>
      <c r="D2">
        <f>1579*1217</f>
        <v>1921643</v>
      </c>
      <c r="E2">
        <f>698.67*538.5</f>
        <v>376233.79499999998</v>
      </c>
      <c r="F2">
        <f>E2/1000000</f>
        <v>0.37623379499999998</v>
      </c>
      <c r="G2">
        <v>0</v>
      </c>
      <c r="H2">
        <v>0</v>
      </c>
      <c r="I2">
        <f>H2/1000000</f>
        <v>0</v>
      </c>
      <c r="J2">
        <v>0</v>
      </c>
      <c r="K2">
        <f>C2/F2</f>
        <v>0</v>
      </c>
      <c r="L2" s="5">
        <v>3</v>
      </c>
      <c r="O2">
        <v>7.0659999999999998</v>
      </c>
      <c r="P2">
        <f>O2/1000</f>
        <v>7.0660000000000002E-3</v>
      </c>
      <c r="Q2">
        <f>(P2*365)/28</f>
        <v>9.2110357142857133E-2</v>
      </c>
    </row>
    <row r="3" spans="1:17" ht="15.75" thickBot="1" x14ac:dyDescent="0.3">
      <c r="A3" s="17"/>
      <c r="B3" s="7">
        <v>2</v>
      </c>
      <c r="C3">
        <v>0</v>
      </c>
      <c r="D3">
        <f>1603*1211</f>
        <v>1941233</v>
      </c>
      <c r="E3">
        <f>709.29*535.84</f>
        <v>380065.95360000001</v>
      </c>
      <c r="F3">
        <f t="shared" ref="F3:F6" si="0">E3/1000000</f>
        <v>0.38006595360000001</v>
      </c>
      <c r="G3">
        <v>0</v>
      </c>
      <c r="H3">
        <v>0</v>
      </c>
      <c r="I3">
        <f t="shared" ref="I3:I6" si="1">H3/1000000</f>
        <v>0</v>
      </c>
      <c r="J3">
        <v>0</v>
      </c>
      <c r="K3">
        <f>C3/F3</f>
        <v>0</v>
      </c>
      <c r="L3" s="5">
        <v>6</v>
      </c>
      <c r="O3">
        <v>8.6530000000000005</v>
      </c>
      <c r="P3">
        <f t="shared" ref="P3:P6" si="2">O3/1000</f>
        <v>8.653000000000001E-3</v>
      </c>
      <c r="Q3">
        <f t="shared" ref="Q3:Q6" si="3">(P3*365)/28</f>
        <v>0.11279803571428572</v>
      </c>
    </row>
    <row r="4" spans="1:17" ht="15.75" thickBot="1" x14ac:dyDescent="0.3">
      <c r="A4" s="17"/>
      <c r="B4" s="7">
        <v>3</v>
      </c>
      <c r="C4">
        <v>0</v>
      </c>
      <c r="D4">
        <f>1604*1219</f>
        <v>1955276</v>
      </c>
      <c r="E4">
        <f>709.73*539.38</f>
        <v>382814.16740000003</v>
      </c>
      <c r="F4">
        <f t="shared" si="0"/>
        <v>0.38281416740000002</v>
      </c>
      <c r="G4">
        <v>0</v>
      </c>
      <c r="H4">
        <v>0</v>
      </c>
      <c r="I4">
        <f t="shared" si="1"/>
        <v>0</v>
      </c>
      <c r="J4">
        <v>0</v>
      </c>
      <c r="K4">
        <f>C4/F4</f>
        <v>0</v>
      </c>
      <c r="L4" s="5">
        <v>9</v>
      </c>
      <c r="O4">
        <v>6.54</v>
      </c>
      <c r="P4">
        <f t="shared" si="2"/>
        <v>6.5399999999999998E-3</v>
      </c>
      <c r="Q4">
        <f t="shared" si="3"/>
        <v>8.5253571428571415E-2</v>
      </c>
    </row>
    <row r="5" spans="1:17" ht="15.75" thickBot="1" x14ac:dyDescent="0.3">
      <c r="A5" s="17"/>
      <c r="B5" s="7">
        <v>4</v>
      </c>
      <c r="C5">
        <v>0</v>
      </c>
      <c r="D5">
        <f>1602*1134</f>
        <v>1816668</v>
      </c>
      <c r="E5">
        <f>708.85*501.77</f>
        <v>355679.66450000001</v>
      </c>
      <c r="F5">
        <f t="shared" si="0"/>
        <v>0.35567966449999999</v>
      </c>
      <c r="G5">
        <v>0</v>
      </c>
      <c r="H5">
        <v>0</v>
      </c>
      <c r="I5">
        <f t="shared" si="1"/>
        <v>0</v>
      </c>
      <c r="J5">
        <v>0</v>
      </c>
      <c r="K5">
        <f>C5/F5</f>
        <v>0</v>
      </c>
      <c r="L5" s="5">
        <v>12</v>
      </c>
      <c r="O5">
        <v>14.487</v>
      </c>
      <c r="P5">
        <f t="shared" si="2"/>
        <v>1.4487E-2</v>
      </c>
      <c r="Q5">
        <f t="shared" si="3"/>
        <v>0.18884839285714286</v>
      </c>
    </row>
    <row r="6" spans="1:17" ht="15.75" thickBot="1" x14ac:dyDescent="0.3">
      <c r="A6" s="18"/>
      <c r="B6" s="7">
        <v>5</v>
      </c>
      <c r="C6">
        <v>14</v>
      </c>
      <c r="D6">
        <f>1606*1220</f>
        <v>1959320</v>
      </c>
      <c r="E6">
        <f>710.62*539.82</f>
        <v>383606.88840000005</v>
      </c>
      <c r="F6">
        <f t="shared" si="0"/>
        <v>0.38360688840000007</v>
      </c>
      <c r="G6">
        <v>14103.101000000001</v>
      </c>
      <c r="H6">
        <v>1007.364</v>
      </c>
      <c r="I6">
        <f t="shared" si="1"/>
        <v>1.007364E-3</v>
      </c>
      <c r="J6">
        <v>47.652999999999999</v>
      </c>
      <c r="K6">
        <f>C6/F6</f>
        <v>36.495695002749066</v>
      </c>
      <c r="L6" s="5" t="s">
        <v>17</v>
      </c>
      <c r="O6">
        <v>19.047000000000001</v>
      </c>
      <c r="P6">
        <f t="shared" si="2"/>
        <v>1.9047000000000001E-2</v>
      </c>
      <c r="Q6">
        <f t="shared" si="3"/>
        <v>0.24829125000000002</v>
      </c>
    </row>
    <row r="7" spans="1:17" ht="15.75" thickBot="1" x14ac:dyDescent="0.3">
      <c r="A7" s="7" t="s">
        <v>18</v>
      </c>
      <c r="B7" s="4"/>
      <c r="C7" s="6">
        <f>AVERAGE(C2:C6)</f>
        <v>2.8</v>
      </c>
      <c r="D7" s="4">
        <f t="shared" ref="D7:H7" si="4">AVERAGE(D2:D6)</f>
        <v>1918828</v>
      </c>
      <c r="E7" s="4">
        <f t="shared" si="4"/>
        <v>375680.09378000005</v>
      </c>
      <c r="F7" s="4">
        <f>AVERAGE(F2:F6)</f>
        <v>0.37568009378000006</v>
      </c>
      <c r="G7" s="4">
        <f t="shared" si="4"/>
        <v>2820.6202000000003</v>
      </c>
      <c r="H7" s="4">
        <f t="shared" si="4"/>
        <v>201.47280000000001</v>
      </c>
      <c r="I7" s="4">
        <f>AVERAGE(I2:I6)</f>
        <v>2.0147279999999999E-4</v>
      </c>
      <c r="J7" s="4">
        <f>AVERAGE(J2:J6)</f>
        <v>9.5305999999999997</v>
      </c>
      <c r="K7" s="4">
        <f>AVERAGE(K2:K6)</f>
        <v>7.2991390005498129</v>
      </c>
      <c r="M7" s="4" t="e">
        <f t="shared" ref="M7" si="5">AVERAGE(M2:M6)</f>
        <v>#DIV/0!</v>
      </c>
      <c r="N7" s="4" t="e">
        <f t="shared" ref="N7" si="6">AVERAGE(N2:N6)</f>
        <v>#DIV/0!</v>
      </c>
      <c r="O7" s="4">
        <f t="shared" ref="O7" si="7">AVERAGE(O2:O6)</f>
        <v>11.158600000000002</v>
      </c>
      <c r="P7" s="4">
        <f t="shared" ref="P7" si="8">AVERAGE(P2:P6)</f>
        <v>1.1158600000000001E-2</v>
      </c>
      <c r="Q7" s="4">
        <f t="shared" ref="Q7" si="9">AVERAGE(Q2:Q6)</f>
        <v>0.1454603214285714</v>
      </c>
    </row>
    <row r="8" spans="1:17" ht="15.75" thickBot="1" x14ac:dyDescent="0.3"/>
    <row r="9" spans="1:17" ht="15.75" thickBot="1" x14ac:dyDescent="0.3">
      <c r="A9" s="7" t="s">
        <v>0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16" t="s">
        <v>20</v>
      </c>
      <c r="B10" s="7">
        <v>1</v>
      </c>
      <c r="C10">
        <v>0</v>
      </c>
      <c r="D10">
        <f>1600*1210</f>
        <v>1936000</v>
      </c>
      <c r="E10">
        <f>707.96*535.4</f>
        <v>379041.78399999999</v>
      </c>
      <c r="F10">
        <f>E10/1000000</f>
        <v>0.37904178399999999</v>
      </c>
      <c r="G10">
        <v>0</v>
      </c>
      <c r="H10">
        <v>0</v>
      </c>
      <c r="I10">
        <f>H10/1000000</f>
        <v>0</v>
      </c>
      <c r="J10">
        <v>0</v>
      </c>
      <c r="K10">
        <f>C10/F10</f>
        <v>0</v>
      </c>
      <c r="O10">
        <v>18.178999999999998</v>
      </c>
      <c r="P10">
        <f>O10/1000</f>
        <v>1.8178999999999997E-2</v>
      </c>
      <c r="Q10">
        <f>(P10*365)/28</f>
        <v>0.23697624999999994</v>
      </c>
    </row>
    <row r="11" spans="1:17" ht="15.75" thickBot="1" x14ac:dyDescent="0.3">
      <c r="A11" s="17"/>
      <c r="B11" s="7">
        <v>2</v>
      </c>
      <c r="C11">
        <v>0</v>
      </c>
      <c r="D11">
        <f>1608*1212</f>
        <v>1948896</v>
      </c>
      <c r="E11">
        <f>711.5*536.28</f>
        <v>381563.22</v>
      </c>
      <c r="F11">
        <f t="shared" ref="F11:F14" si="10">E11/1000000</f>
        <v>0.38156321999999998</v>
      </c>
      <c r="G11">
        <v>0</v>
      </c>
      <c r="H11">
        <v>0</v>
      </c>
      <c r="I11">
        <f t="shared" ref="I11:I14" si="11">H11/1000000</f>
        <v>0</v>
      </c>
      <c r="J11">
        <v>0</v>
      </c>
      <c r="K11">
        <f>C11/F11</f>
        <v>0</v>
      </c>
      <c r="O11">
        <v>6.0579999999999998</v>
      </c>
      <c r="P11">
        <f t="shared" ref="P11:P14" si="12">O11/1000</f>
        <v>6.058E-3</v>
      </c>
      <c r="Q11">
        <f t="shared" ref="Q11:Q14" si="13">(P11*365)/28</f>
        <v>7.8970357142857148E-2</v>
      </c>
    </row>
    <row r="12" spans="1:17" ht="15.75" thickBot="1" x14ac:dyDescent="0.3">
      <c r="A12" s="17"/>
      <c r="B12" s="7">
        <v>3</v>
      </c>
      <c r="C12">
        <v>0</v>
      </c>
      <c r="D12">
        <f>1594*1220</f>
        <v>1944680</v>
      </c>
      <c r="E12">
        <f>705.31*539.82</f>
        <v>380740.44420000003</v>
      </c>
      <c r="F12">
        <f t="shared" si="10"/>
        <v>0.38074044420000003</v>
      </c>
      <c r="G12">
        <v>0</v>
      </c>
      <c r="H12">
        <v>0</v>
      </c>
      <c r="I12">
        <f t="shared" si="11"/>
        <v>0</v>
      </c>
      <c r="J12">
        <v>0</v>
      </c>
      <c r="K12">
        <f>C12/F12</f>
        <v>0</v>
      </c>
      <c r="O12">
        <v>5.5940000000000003</v>
      </c>
      <c r="P12">
        <f t="shared" si="12"/>
        <v>5.594E-3</v>
      </c>
      <c r="Q12">
        <f t="shared" si="13"/>
        <v>7.2921785714285717E-2</v>
      </c>
    </row>
    <row r="13" spans="1:17" ht="15.75" thickBot="1" x14ac:dyDescent="0.3">
      <c r="A13" s="17"/>
      <c r="B13" s="7">
        <v>4</v>
      </c>
      <c r="C13">
        <v>0</v>
      </c>
      <c r="D13">
        <f>1571*1207</f>
        <v>1896197</v>
      </c>
      <c r="E13">
        <f>695.13*534.07</f>
        <v>371248.07910000003</v>
      </c>
      <c r="F13">
        <f t="shared" si="10"/>
        <v>0.37124807910000002</v>
      </c>
      <c r="G13">
        <v>0</v>
      </c>
      <c r="H13">
        <v>0</v>
      </c>
      <c r="I13">
        <f t="shared" si="11"/>
        <v>0</v>
      </c>
      <c r="J13">
        <v>0</v>
      </c>
      <c r="K13">
        <f>C13/F13</f>
        <v>0</v>
      </c>
      <c r="O13">
        <v>8.9079999999999995</v>
      </c>
      <c r="P13">
        <f t="shared" si="12"/>
        <v>8.9079999999999993E-3</v>
      </c>
      <c r="Q13">
        <f t="shared" si="13"/>
        <v>0.11612214285714284</v>
      </c>
    </row>
    <row r="14" spans="1:17" ht="15.75" thickBot="1" x14ac:dyDescent="0.3">
      <c r="A14" s="18"/>
      <c r="B14" s="7">
        <v>5</v>
      </c>
      <c r="C14">
        <v>5</v>
      </c>
      <c r="D14">
        <f>1606*1223</f>
        <v>1964138</v>
      </c>
      <c r="E14">
        <f>710.62*541.15</f>
        <v>384552.01299999998</v>
      </c>
      <c r="F14">
        <f t="shared" si="10"/>
        <v>0.38455201299999997</v>
      </c>
      <c r="G14">
        <v>5146.4480000000003</v>
      </c>
      <c r="H14">
        <v>1029.29</v>
      </c>
      <c r="I14">
        <f t="shared" si="11"/>
        <v>1.02929E-3</v>
      </c>
      <c r="J14">
        <v>34.281999999999996</v>
      </c>
      <c r="K14">
        <f>C14/F14</f>
        <v>13.002142313580869</v>
      </c>
      <c r="O14">
        <v>10.468999999999999</v>
      </c>
      <c r="P14">
        <f t="shared" si="12"/>
        <v>1.0468999999999999E-2</v>
      </c>
      <c r="Q14">
        <f t="shared" si="13"/>
        <v>0.13647089285714284</v>
      </c>
    </row>
    <row r="15" spans="1:17" ht="15.75" thickBot="1" x14ac:dyDescent="0.3">
      <c r="A15" s="7" t="s">
        <v>18</v>
      </c>
      <c r="B15" s="4"/>
      <c r="C15" s="6">
        <f>AVERAGE(C10:C14)</f>
        <v>1</v>
      </c>
      <c r="D15" s="4">
        <f t="shared" ref="D15" si="14">AVERAGE(D10:D14)</f>
        <v>1937982.2</v>
      </c>
      <c r="E15" s="4">
        <f t="shared" ref="E15" si="15">AVERAGE(E10:E14)</f>
        <v>379429.10806</v>
      </c>
      <c r="F15" s="4">
        <f>AVERAGE(F10:F14)</f>
        <v>0.37942910805999996</v>
      </c>
      <c r="G15" s="4">
        <f t="shared" ref="G15" si="16">AVERAGE(G10:G14)</f>
        <v>1029.2896000000001</v>
      </c>
      <c r="H15" s="4">
        <f t="shared" ref="H15" si="17">AVERAGE(H10:H14)</f>
        <v>205.858</v>
      </c>
      <c r="I15" s="4">
        <f>AVERAGE(I10:I14)</f>
        <v>2.0585800000000001E-4</v>
      </c>
      <c r="J15" s="4">
        <f>AVERAGE(J10:J14)</f>
        <v>6.8563999999999989</v>
      </c>
      <c r="K15" s="4">
        <f>AVERAGE(K10:K14)</f>
        <v>2.6004284627161738</v>
      </c>
      <c r="M15" s="4" t="e">
        <f t="shared" ref="M15" si="18">AVERAGE(M10:M14)</f>
        <v>#DIV/0!</v>
      </c>
      <c r="N15" s="4" t="e">
        <f t="shared" ref="N15" si="19">AVERAGE(N10:N14)</f>
        <v>#DIV/0!</v>
      </c>
      <c r="O15" s="4">
        <f t="shared" ref="O15" si="20">AVERAGE(O10:O14)</f>
        <v>9.8415999999999997</v>
      </c>
      <c r="P15" s="4">
        <f t="shared" ref="P15" si="21">AVERAGE(P10:P14)</f>
        <v>9.841599999999999E-3</v>
      </c>
      <c r="Q15" s="4">
        <f t="shared" ref="Q15" si="22">AVERAGE(Q10:Q14)</f>
        <v>0.12829228571428569</v>
      </c>
    </row>
    <row r="16" spans="1:17" ht="15.75" thickBot="1" x14ac:dyDescent="0.3"/>
    <row r="17" spans="1:17" ht="15.75" thickBot="1" x14ac:dyDescent="0.3">
      <c r="A17" s="7" t="s">
        <v>0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16" t="s">
        <v>21</v>
      </c>
      <c r="B18" s="7">
        <v>1</v>
      </c>
      <c r="C18">
        <v>0</v>
      </c>
      <c r="D18">
        <f>1600*1220</f>
        <v>1952000</v>
      </c>
      <c r="E18">
        <f>707.96*539.82</f>
        <v>382170.96720000007</v>
      </c>
      <c r="F18">
        <f>E18/1000000</f>
        <v>0.38217096720000004</v>
      </c>
      <c r="G18">
        <v>0</v>
      </c>
      <c r="H18">
        <v>0</v>
      </c>
      <c r="I18">
        <f>H18/1000000</f>
        <v>0</v>
      </c>
      <c r="J18">
        <v>0</v>
      </c>
      <c r="K18">
        <f>C18/F18</f>
        <v>0</v>
      </c>
      <c r="O18">
        <v>16.062000000000001</v>
      </c>
      <c r="P18">
        <f>O18/1000</f>
        <v>1.6062E-2</v>
      </c>
      <c r="Q18">
        <f>(P18*365)/28</f>
        <v>0.20937964285714286</v>
      </c>
    </row>
    <row r="19" spans="1:17" ht="15.75" thickBot="1" x14ac:dyDescent="0.3">
      <c r="A19" s="17"/>
      <c r="B19" s="7">
        <v>2</v>
      </c>
      <c r="C19">
        <v>0</v>
      </c>
      <c r="D19">
        <f>1613*1225</f>
        <v>1975925</v>
      </c>
      <c r="E19">
        <f>713.72*542.04</f>
        <v>386864.78879999998</v>
      </c>
      <c r="F19">
        <f t="shared" ref="F19:F22" si="23">E19/1000000</f>
        <v>0.38686478879999997</v>
      </c>
      <c r="G19">
        <v>0</v>
      </c>
      <c r="H19">
        <v>0</v>
      </c>
      <c r="I19">
        <f t="shared" ref="I19:I22" si="24">H19/1000000</f>
        <v>0</v>
      </c>
      <c r="J19">
        <v>0</v>
      </c>
      <c r="K19">
        <f>C19/F19</f>
        <v>0</v>
      </c>
      <c r="O19">
        <v>6.181</v>
      </c>
      <c r="P19">
        <f t="shared" ref="P19:P22" si="25">O19/1000</f>
        <v>6.1809999999999999E-3</v>
      </c>
      <c r="Q19">
        <f t="shared" ref="Q19:Q22" si="26">(P19*365)/28</f>
        <v>8.057375E-2</v>
      </c>
    </row>
    <row r="20" spans="1:17" ht="15.75" thickBot="1" x14ac:dyDescent="0.3">
      <c r="A20" s="17"/>
      <c r="B20" s="7">
        <v>3</v>
      </c>
      <c r="C20">
        <v>0</v>
      </c>
      <c r="D20">
        <f>1612*1216</f>
        <v>1960192</v>
      </c>
      <c r="E20">
        <f>713.27*538.05</f>
        <v>383774.92349999998</v>
      </c>
      <c r="F20">
        <f t="shared" si="23"/>
        <v>0.38377492349999998</v>
      </c>
      <c r="G20">
        <v>0</v>
      </c>
      <c r="H20">
        <v>0</v>
      </c>
      <c r="I20">
        <f t="shared" si="24"/>
        <v>0</v>
      </c>
      <c r="J20">
        <v>0</v>
      </c>
      <c r="K20">
        <f>C20/F20</f>
        <v>0</v>
      </c>
      <c r="O20">
        <v>6.327</v>
      </c>
      <c r="P20">
        <f t="shared" si="25"/>
        <v>6.3270000000000002E-3</v>
      </c>
      <c r="Q20">
        <f t="shared" si="26"/>
        <v>8.2476964285714285E-2</v>
      </c>
    </row>
    <row r="21" spans="1:17" ht="15.75" thickBot="1" x14ac:dyDescent="0.3">
      <c r="A21" s="17"/>
      <c r="B21" s="7">
        <v>4</v>
      </c>
      <c r="C21">
        <v>1</v>
      </c>
      <c r="D21">
        <f>1599*1212</f>
        <v>1937988</v>
      </c>
      <c r="E21">
        <f>707.52*536.28</f>
        <v>379428.82559999998</v>
      </c>
      <c r="F21">
        <f t="shared" si="23"/>
        <v>0.37942882559999996</v>
      </c>
      <c r="G21">
        <v>690.14800000000002</v>
      </c>
      <c r="H21">
        <v>690.14800000000002</v>
      </c>
      <c r="I21">
        <f t="shared" si="24"/>
        <v>6.9014800000000002E-4</v>
      </c>
      <c r="J21">
        <v>0.182</v>
      </c>
      <c r="K21">
        <f>C21/F21</f>
        <v>2.6355404031801637</v>
      </c>
      <c r="O21">
        <v>24.212</v>
      </c>
      <c r="P21">
        <f t="shared" si="25"/>
        <v>2.4212000000000001E-2</v>
      </c>
      <c r="Q21">
        <f t="shared" si="26"/>
        <v>0.31562071428571425</v>
      </c>
    </row>
    <row r="22" spans="1:17" ht="15.75" thickBot="1" x14ac:dyDescent="0.3">
      <c r="A22" s="18"/>
      <c r="B22" s="7">
        <v>5</v>
      </c>
      <c r="C22">
        <v>0</v>
      </c>
      <c r="D22">
        <f>1587*1170</f>
        <v>1856790</v>
      </c>
      <c r="E22">
        <f>702.21*517.7</f>
        <v>363534.11700000003</v>
      </c>
      <c r="F22">
        <f t="shared" si="23"/>
        <v>0.36353411700000005</v>
      </c>
      <c r="G22">
        <v>0</v>
      </c>
      <c r="H22">
        <v>0</v>
      </c>
      <c r="I22">
        <f t="shared" si="24"/>
        <v>0</v>
      </c>
      <c r="J22">
        <v>0</v>
      </c>
      <c r="K22">
        <f>C22/F22</f>
        <v>0</v>
      </c>
      <c r="O22">
        <v>15.997999999999999</v>
      </c>
      <c r="P22">
        <f t="shared" si="25"/>
        <v>1.5997999999999998E-2</v>
      </c>
      <c r="Q22">
        <f t="shared" si="26"/>
        <v>0.2085453571428571</v>
      </c>
    </row>
    <row r="23" spans="1:17" ht="15.75" thickBot="1" x14ac:dyDescent="0.3">
      <c r="A23" s="7" t="s">
        <v>18</v>
      </c>
      <c r="B23" s="4"/>
      <c r="C23" s="6">
        <f>AVERAGE(C18:C22)</f>
        <v>0.2</v>
      </c>
      <c r="D23" s="4">
        <f t="shared" ref="D23" si="27">AVERAGE(D18:D22)</f>
        <v>1936579</v>
      </c>
      <c r="E23" s="4">
        <f t="shared" ref="E23" si="28">AVERAGE(E18:E22)</f>
        <v>379154.72442000004</v>
      </c>
      <c r="F23" s="4">
        <f>AVERAGE(F18:F22)</f>
        <v>0.37915472442000003</v>
      </c>
      <c r="G23" s="4">
        <f t="shared" ref="G23" si="29">AVERAGE(G18:G22)</f>
        <v>138.02960000000002</v>
      </c>
      <c r="H23" s="4">
        <f t="shared" ref="H23" si="30">AVERAGE(H18:H22)</f>
        <v>138.02960000000002</v>
      </c>
      <c r="I23" s="4">
        <f>AVERAGE(I18:I22)</f>
        <v>1.380296E-4</v>
      </c>
      <c r="J23" s="4">
        <f>AVERAGE(J18:J22)</f>
        <v>3.6400000000000002E-2</v>
      </c>
      <c r="K23" s="4">
        <f>AVERAGE(K18:K22)</f>
        <v>0.52710808063603276</v>
      </c>
      <c r="M23" s="4" t="e">
        <f t="shared" ref="M23" si="31">AVERAGE(M18:M22)</f>
        <v>#DIV/0!</v>
      </c>
      <c r="N23" s="4" t="e">
        <f t="shared" ref="N23" si="32">AVERAGE(N18:N22)</f>
        <v>#DIV/0!</v>
      </c>
      <c r="O23" s="4">
        <f t="shared" ref="O23" si="33">AVERAGE(O18:O22)</f>
        <v>13.756</v>
      </c>
      <c r="P23" s="4">
        <f t="shared" ref="P23" si="34">AVERAGE(P18:P22)</f>
        <v>1.3755999999999999E-2</v>
      </c>
      <c r="Q23" s="4">
        <f t="shared" ref="Q23" si="35">AVERAGE(Q18:Q22)</f>
        <v>0.17931928571428571</v>
      </c>
    </row>
    <row r="24" spans="1:17" ht="15.75" thickBot="1" x14ac:dyDescent="0.3"/>
    <row r="25" spans="1:17" ht="15.75" thickBot="1" x14ac:dyDescent="0.3">
      <c r="A25" s="7" t="s">
        <v>0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16" t="s">
        <v>32</v>
      </c>
      <c r="B26" s="7">
        <v>1</v>
      </c>
      <c r="C26">
        <v>0</v>
      </c>
      <c r="D26">
        <f>1564*1171</f>
        <v>1831444</v>
      </c>
      <c r="E26">
        <f>692.04*518.14</f>
        <v>358573.60559999995</v>
      </c>
      <c r="F26">
        <f>E26/1000000</f>
        <v>0.35857360559999996</v>
      </c>
      <c r="G26">
        <v>0</v>
      </c>
      <c r="H26">
        <v>0</v>
      </c>
      <c r="I26">
        <f>H26/1000000</f>
        <v>0</v>
      </c>
      <c r="J26">
        <v>0</v>
      </c>
      <c r="K26">
        <f>C26/F26</f>
        <v>0</v>
      </c>
      <c r="O26">
        <v>6.4009999999999998</v>
      </c>
      <c r="P26">
        <f>O26/1000</f>
        <v>6.4009999999999996E-3</v>
      </c>
      <c r="Q26">
        <f>(P26*365)/28</f>
        <v>8.344160714285713E-2</v>
      </c>
    </row>
    <row r="27" spans="1:17" ht="15.75" thickBot="1" x14ac:dyDescent="0.3">
      <c r="A27" s="17"/>
      <c r="B27" s="7">
        <v>2</v>
      </c>
      <c r="C27">
        <v>0</v>
      </c>
      <c r="D27">
        <f>1612*1223</f>
        <v>1971476</v>
      </c>
      <c r="E27">
        <f>713.27*541.15</f>
        <v>385986.06049999996</v>
      </c>
      <c r="F27">
        <f t="shared" ref="F27:F30" si="36">E27/1000000</f>
        <v>0.38598606049999995</v>
      </c>
      <c r="G27">
        <v>0</v>
      </c>
      <c r="H27">
        <v>0</v>
      </c>
      <c r="I27">
        <f t="shared" ref="I27:I30" si="37">H27/1000000</f>
        <v>0</v>
      </c>
      <c r="J27">
        <v>0</v>
      </c>
      <c r="K27">
        <f>C27/F27</f>
        <v>0</v>
      </c>
      <c r="O27">
        <v>5.7160000000000002</v>
      </c>
      <c r="P27">
        <f t="shared" ref="P27:P30" si="38">O27/1000</f>
        <v>5.7160000000000006E-3</v>
      </c>
      <c r="Q27">
        <f t="shared" ref="Q27:Q30" si="39">(P27*365)/28</f>
        <v>7.4512142857142874E-2</v>
      </c>
    </row>
    <row r="28" spans="1:17" ht="15.75" thickBot="1" x14ac:dyDescent="0.3">
      <c r="A28" s="17"/>
      <c r="B28" s="7">
        <v>3</v>
      </c>
      <c r="C28">
        <v>0</v>
      </c>
      <c r="D28">
        <f>1614*1223</f>
        <v>1973922</v>
      </c>
      <c r="E28">
        <f>714.16*541.15</f>
        <v>386467.68399999995</v>
      </c>
      <c r="F28">
        <f t="shared" si="36"/>
        <v>0.38646768399999992</v>
      </c>
      <c r="G28">
        <v>0</v>
      </c>
      <c r="H28">
        <v>0</v>
      </c>
      <c r="I28">
        <f t="shared" si="37"/>
        <v>0</v>
      </c>
      <c r="J28">
        <v>0</v>
      </c>
      <c r="K28">
        <f>C28/F28</f>
        <v>0</v>
      </c>
      <c r="O28">
        <v>6.4290000000000003</v>
      </c>
      <c r="P28">
        <f t="shared" si="38"/>
        <v>6.4290000000000007E-3</v>
      </c>
      <c r="Q28">
        <f t="shared" si="39"/>
        <v>8.3806607142857148E-2</v>
      </c>
    </row>
    <row r="29" spans="1:17" ht="15.75" thickBot="1" x14ac:dyDescent="0.3">
      <c r="A29" s="17"/>
      <c r="B29" s="7">
        <v>4</v>
      </c>
      <c r="C29">
        <v>0</v>
      </c>
      <c r="D29">
        <f>1611*1218</f>
        <v>1962198</v>
      </c>
      <c r="E29">
        <f>712.83*538.94</f>
        <v>384172.60020000004</v>
      </c>
      <c r="F29">
        <f t="shared" si="36"/>
        <v>0.38417260020000005</v>
      </c>
      <c r="G29">
        <v>0</v>
      </c>
      <c r="H29">
        <v>0</v>
      </c>
      <c r="I29">
        <f t="shared" si="37"/>
        <v>0</v>
      </c>
      <c r="J29">
        <v>0</v>
      </c>
      <c r="K29">
        <f>C29/F29</f>
        <v>0</v>
      </c>
      <c r="O29">
        <v>8.6370000000000005</v>
      </c>
      <c r="P29">
        <f t="shared" si="38"/>
        <v>8.6370000000000006E-3</v>
      </c>
      <c r="Q29">
        <f t="shared" si="39"/>
        <v>0.11258946428571429</v>
      </c>
    </row>
    <row r="30" spans="1:17" ht="15.75" thickBot="1" x14ac:dyDescent="0.3">
      <c r="A30" s="18"/>
      <c r="B30" s="7">
        <v>5</v>
      </c>
      <c r="C30">
        <v>0</v>
      </c>
      <c r="D30">
        <f>1563*1176</f>
        <v>1838088</v>
      </c>
      <c r="E30">
        <f>691.59*520.35</f>
        <v>359868.85650000005</v>
      </c>
      <c r="F30">
        <f t="shared" si="36"/>
        <v>0.35986885650000006</v>
      </c>
      <c r="G30">
        <v>0</v>
      </c>
      <c r="H30">
        <v>0</v>
      </c>
      <c r="I30">
        <f t="shared" si="37"/>
        <v>0</v>
      </c>
      <c r="J30">
        <v>0</v>
      </c>
      <c r="K30">
        <f>C30/F30</f>
        <v>0</v>
      </c>
      <c r="O30">
        <v>34.997999999999998</v>
      </c>
      <c r="P30">
        <f t="shared" si="38"/>
        <v>3.4997999999999994E-2</v>
      </c>
      <c r="Q30">
        <f t="shared" si="39"/>
        <v>0.45622392857142852</v>
      </c>
    </row>
    <row r="31" spans="1:17" ht="15.75" thickBot="1" x14ac:dyDescent="0.3">
      <c r="A31" s="7" t="s">
        <v>18</v>
      </c>
      <c r="B31" s="4"/>
      <c r="C31" s="6">
        <f>AVERAGE(C26:C30)</f>
        <v>0</v>
      </c>
      <c r="D31" s="4">
        <f t="shared" ref="D31" si="40">AVERAGE(D26:D30)</f>
        <v>1915425.6</v>
      </c>
      <c r="E31" s="4">
        <f t="shared" ref="E31" si="41">AVERAGE(E26:E30)</f>
        <v>375013.76136</v>
      </c>
      <c r="F31" s="4">
        <f>AVERAGE(F26:F30)</f>
        <v>0.37501376136000003</v>
      </c>
      <c r="G31" s="4">
        <f t="shared" ref="G31" si="42">AVERAGE(G26:G30)</f>
        <v>0</v>
      </c>
      <c r="H31" s="4">
        <f t="shared" ref="H31" si="43">AVERAGE(H26:H30)</f>
        <v>0</v>
      </c>
      <c r="I31" s="4">
        <f>AVERAGE(I26:I30)</f>
        <v>0</v>
      </c>
      <c r="J31" s="4">
        <f>AVERAGE(J26:J30)</f>
        <v>0</v>
      </c>
      <c r="K31" s="4">
        <f>AVERAGE(K26:K30)</f>
        <v>0</v>
      </c>
      <c r="M31" s="4" t="e">
        <f t="shared" ref="M31" si="44">AVERAGE(M26:M30)</f>
        <v>#DIV/0!</v>
      </c>
      <c r="N31" s="4" t="e">
        <f t="shared" ref="N31" si="45">AVERAGE(N26:N30)</f>
        <v>#DIV/0!</v>
      </c>
      <c r="O31" s="4">
        <f t="shared" ref="O31" si="46">AVERAGE(O26:O30)</f>
        <v>12.436199999999999</v>
      </c>
      <c r="P31" s="4">
        <f t="shared" ref="P31" si="47">AVERAGE(P26:P30)</f>
        <v>1.2436199999999998E-2</v>
      </c>
      <c r="Q31" s="4">
        <f t="shared" ref="Q31" si="48">AVERAGE(Q26:Q30)</f>
        <v>0.16211474999999997</v>
      </c>
    </row>
    <row r="32" spans="1:17" ht="15.75" thickBot="1" x14ac:dyDescent="0.3"/>
    <row r="33" spans="1:17" ht="15.75" thickBot="1" x14ac:dyDescent="0.3">
      <c r="A33" s="7" t="s">
        <v>0</v>
      </c>
      <c r="B33" s="4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2" t="s">
        <v>7</v>
      </c>
      <c r="I33" s="2" t="s">
        <v>8</v>
      </c>
      <c r="J33" s="3" t="s">
        <v>9</v>
      </c>
      <c r="K33" s="1" t="s">
        <v>10</v>
      </c>
      <c r="M33" s="8" t="s">
        <v>12</v>
      </c>
      <c r="N33" s="8" t="s">
        <v>13</v>
      </c>
      <c r="O33" s="8" t="s">
        <v>14</v>
      </c>
      <c r="P33" s="8" t="s">
        <v>15</v>
      </c>
      <c r="Q33" s="8" t="s">
        <v>16</v>
      </c>
    </row>
    <row r="34" spans="1:17" ht="15.75" thickBot="1" x14ac:dyDescent="0.3">
      <c r="A34" s="16" t="s">
        <v>33</v>
      </c>
      <c r="B34" s="7">
        <v>1</v>
      </c>
      <c r="C34">
        <v>0</v>
      </c>
      <c r="D34">
        <f>1588*1223</f>
        <v>1942124</v>
      </c>
      <c r="E34">
        <f>702.65*541.15</f>
        <v>380239.04749999999</v>
      </c>
      <c r="F34">
        <f>E34/1000000</f>
        <v>0.38023904749999998</v>
      </c>
      <c r="G34">
        <v>0</v>
      </c>
      <c r="H34">
        <v>0</v>
      </c>
      <c r="I34">
        <f>H34/1000000</f>
        <v>0</v>
      </c>
      <c r="J34">
        <v>0</v>
      </c>
      <c r="K34">
        <f>C34/F34</f>
        <v>0</v>
      </c>
      <c r="O34">
        <v>5.4189999999999996</v>
      </c>
      <c r="P34">
        <f>O34/1000</f>
        <v>5.4189999999999993E-3</v>
      </c>
      <c r="Q34">
        <f>(P34*365)/28</f>
        <v>7.0640535714285704E-2</v>
      </c>
    </row>
    <row r="35" spans="1:17" ht="15.75" thickBot="1" x14ac:dyDescent="0.3">
      <c r="A35" s="17"/>
      <c r="B35" s="7">
        <v>2</v>
      </c>
      <c r="C35">
        <v>0</v>
      </c>
      <c r="D35">
        <f>1612*1204</f>
        <v>1940848</v>
      </c>
      <c r="E35">
        <f>713.27*532.74</f>
        <v>379987.45980000001</v>
      </c>
      <c r="F35">
        <f t="shared" ref="F35:F38" si="49">E35/1000000</f>
        <v>0.37998745980000004</v>
      </c>
      <c r="G35">
        <v>0</v>
      </c>
      <c r="H35">
        <v>0</v>
      </c>
      <c r="I35">
        <f t="shared" ref="I35:I38" si="50">H35/1000000</f>
        <v>0</v>
      </c>
      <c r="J35">
        <v>0</v>
      </c>
      <c r="K35">
        <f>C35/F35</f>
        <v>0</v>
      </c>
      <c r="O35">
        <v>5.4950000000000001</v>
      </c>
      <c r="P35">
        <f t="shared" ref="P35:P38" si="51">O35/1000</f>
        <v>5.4949999999999999E-3</v>
      </c>
      <c r="Q35">
        <f t="shared" ref="Q35:Q38" si="52">(P35*365)/28</f>
        <v>7.1631250000000007E-2</v>
      </c>
    </row>
    <row r="36" spans="1:17" ht="15.75" thickBot="1" x14ac:dyDescent="0.3">
      <c r="A36" s="17"/>
      <c r="B36" s="7">
        <v>3</v>
      </c>
      <c r="C36">
        <v>4</v>
      </c>
      <c r="D36">
        <f>1608*1219</f>
        <v>1960152</v>
      </c>
      <c r="E36">
        <f>711.5*539.38</f>
        <v>383768.87</v>
      </c>
      <c r="F36">
        <f t="shared" si="49"/>
        <v>0.38376886999999998</v>
      </c>
      <c r="G36">
        <v>3755.9169999999999</v>
      </c>
      <c r="H36">
        <v>938.99300000000005</v>
      </c>
      <c r="I36">
        <f t="shared" si="50"/>
        <v>9.3899300000000005E-4</v>
      </c>
      <c r="J36">
        <v>0.97899999999999998</v>
      </c>
      <c r="K36">
        <f>C36/F36</f>
        <v>10.422940245257516</v>
      </c>
      <c r="O36">
        <v>11.959</v>
      </c>
      <c r="P36">
        <f t="shared" si="51"/>
        <v>1.1958999999999999E-2</v>
      </c>
      <c r="Q36">
        <f t="shared" si="52"/>
        <v>0.15589410714285715</v>
      </c>
    </row>
    <row r="37" spans="1:17" ht="15.75" thickBot="1" x14ac:dyDescent="0.3">
      <c r="A37" s="17"/>
      <c r="B37" s="7">
        <v>4</v>
      </c>
      <c r="C37">
        <v>0</v>
      </c>
      <c r="D37">
        <f>1615*1223</f>
        <v>1975145</v>
      </c>
      <c r="E37">
        <f>714.6*541.15</f>
        <v>386705.79</v>
      </c>
      <c r="F37">
        <f t="shared" si="49"/>
        <v>0.38670578999999999</v>
      </c>
      <c r="G37">
        <v>0</v>
      </c>
      <c r="H37">
        <v>0</v>
      </c>
      <c r="I37">
        <f t="shared" si="50"/>
        <v>0</v>
      </c>
      <c r="J37">
        <v>0</v>
      </c>
      <c r="K37">
        <f>C37/F37</f>
        <v>0</v>
      </c>
      <c r="O37">
        <v>7.3280000000000003</v>
      </c>
      <c r="P37">
        <f t="shared" si="51"/>
        <v>7.3280000000000003E-3</v>
      </c>
      <c r="Q37">
        <f t="shared" si="52"/>
        <v>9.5525714285714297E-2</v>
      </c>
    </row>
    <row r="38" spans="1:17" ht="15.75" thickBot="1" x14ac:dyDescent="0.3">
      <c r="A38" s="18"/>
      <c r="B38" s="7">
        <v>5</v>
      </c>
      <c r="C38">
        <v>5</v>
      </c>
      <c r="D38">
        <f>1567*1187</f>
        <v>1860029</v>
      </c>
      <c r="E38">
        <f>693.36*525.22</f>
        <v>364166.5392</v>
      </c>
      <c r="F38">
        <f t="shared" si="49"/>
        <v>0.36416653919999997</v>
      </c>
      <c r="G38">
        <v>5950.9359999999997</v>
      </c>
      <c r="H38">
        <v>1190.1869999999999</v>
      </c>
      <c r="I38">
        <f t="shared" si="50"/>
        <v>1.1901869999999999E-3</v>
      </c>
      <c r="J38">
        <v>1.6339999999999999</v>
      </c>
      <c r="K38">
        <f>C38/F38</f>
        <v>13.729981922512666</v>
      </c>
      <c r="O38">
        <v>48.305999999999997</v>
      </c>
      <c r="P38">
        <f t="shared" si="51"/>
        <v>4.8305999999999995E-2</v>
      </c>
      <c r="Q38">
        <f t="shared" si="52"/>
        <v>0.6297032142857143</v>
      </c>
    </row>
    <row r="39" spans="1:17" ht="15.75" thickBot="1" x14ac:dyDescent="0.3">
      <c r="A39" s="7" t="s">
        <v>18</v>
      </c>
      <c r="B39" s="4"/>
      <c r="C39" s="6">
        <f>AVERAGE(C34:C38)</f>
        <v>1.8</v>
      </c>
      <c r="D39" s="4">
        <f t="shared" ref="D39" si="53">AVERAGE(D34:D38)</f>
        <v>1935659.6</v>
      </c>
      <c r="E39" s="4">
        <f t="shared" ref="E39" si="54">AVERAGE(E34:E38)</f>
        <v>378973.54129999998</v>
      </c>
      <c r="F39" s="4">
        <f>AVERAGE(F34:F38)</f>
        <v>0.37897354129999999</v>
      </c>
      <c r="G39" s="4">
        <f t="shared" ref="G39" si="55">AVERAGE(G34:G38)</f>
        <v>1941.3705999999997</v>
      </c>
      <c r="H39" s="4">
        <f t="shared" ref="H39" si="56">AVERAGE(H34:H38)</f>
        <v>425.83599999999996</v>
      </c>
      <c r="I39" s="4">
        <f>AVERAGE(I34:I38)</f>
        <v>4.2583600000000002E-4</v>
      </c>
      <c r="J39" s="4">
        <f>AVERAGE(J34:J38)</f>
        <v>0.52259999999999995</v>
      </c>
      <c r="K39" s="4">
        <f>AVERAGE(K34:K38)</f>
        <v>4.8305844335540362</v>
      </c>
      <c r="M39" s="4" t="e">
        <f t="shared" ref="M39" si="57">AVERAGE(M34:M38)</f>
        <v>#DIV/0!</v>
      </c>
      <c r="N39" s="4" t="e">
        <f t="shared" ref="N39" si="58">AVERAGE(N34:N38)</f>
        <v>#DIV/0!</v>
      </c>
      <c r="O39" s="4">
        <f t="shared" ref="O39" si="59">AVERAGE(O34:O38)</f>
        <v>15.701399999999998</v>
      </c>
      <c r="P39" s="4">
        <f t="shared" ref="P39" si="60">AVERAGE(P34:P38)</f>
        <v>1.5701399999999997E-2</v>
      </c>
      <c r="Q39" s="4">
        <f t="shared" ref="Q39" si="61">AVERAGE(Q34:Q38)</f>
        <v>0.2046789642857143</v>
      </c>
    </row>
    <row r="40" spans="1:17" ht="15.75" thickBot="1" x14ac:dyDescent="0.3"/>
    <row r="41" spans="1:17" ht="15.75" thickBot="1" x14ac:dyDescent="0.3">
      <c r="A41" s="7" t="s">
        <v>0</v>
      </c>
      <c r="B41" s="4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2" t="s">
        <v>7</v>
      </c>
      <c r="I41" s="2" t="s">
        <v>8</v>
      </c>
      <c r="J41" s="3" t="s">
        <v>9</v>
      </c>
      <c r="K41" s="1" t="s">
        <v>10</v>
      </c>
      <c r="M41" s="8" t="s">
        <v>12</v>
      </c>
      <c r="N41" s="8" t="s">
        <v>13</v>
      </c>
      <c r="O41" s="8" t="s">
        <v>14</v>
      </c>
      <c r="P41" s="8" t="s">
        <v>15</v>
      </c>
      <c r="Q41" s="8" t="s">
        <v>16</v>
      </c>
    </row>
    <row r="42" spans="1:17" ht="15.75" thickBot="1" x14ac:dyDescent="0.3">
      <c r="A42" s="16" t="s">
        <v>34</v>
      </c>
      <c r="B42" s="7">
        <v>1</v>
      </c>
      <c r="C42">
        <v>0</v>
      </c>
      <c r="D42">
        <f>1591*1217</f>
        <v>1936247</v>
      </c>
      <c r="E42">
        <f>703.98*538.5</f>
        <v>379093.23</v>
      </c>
      <c r="F42">
        <f>E42/1000000</f>
        <v>0.37909323</v>
      </c>
      <c r="G42">
        <v>0</v>
      </c>
      <c r="H42">
        <v>0</v>
      </c>
      <c r="I42">
        <f>H42/1000000</f>
        <v>0</v>
      </c>
      <c r="J42">
        <v>0</v>
      </c>
      <c r="K42">
        <f>C42/F42</f>
        <v>0</v>
      </c>
      <c r="O42">
        <v>4.09</v>
      </c>
      <c r="P42">
        <f>O42/1000</f>
        <v>4.0899999999999999E-3</v>
      </c>
      <c r="Q42">
        <f>(P42*365)/28</f>
        <v>5.3316071428571428E-2</v>
      </c>
    </row>
    <row r="43" spans="1:17" ht="15.75" thickBot="1" x14ac:dyDescent="0.3">
      <c r="A43" s="17"/>
      <c r="B43" s="7">
        <v>2</v>
      </c>
      <c r="C43">
        <v>0</v>
      </c>
      <c r="D43">
        <f>1608*1218</f>
        <v>1958544</v>
      </c>
      <c r="E43">
        <f>711.5*538.94</f>
        <v>383455.81000000006</v>
      </c>
      <c r="F43">
        <f t="shared" ref="F43:F46" si="62">E43/1000000</f>
        <v>0.38345581000000006</v>
      </c>
      <c r="G43">
        <v>0</v>
      </c>
      <c r="H43">
        <v>0</v>
      </c>
      <c r="I43">
        <f t="shared" ref="I43:I46" si="63">H43/1000000</f>
        <v>0</v>
      </c>
      <c r="J43">
        <v>0</v>
      </c>
      <c r="K43">
        <f>C43/F43</f>
        <v>0</v>
      </c>
      <c r="O43">
        <v>6.0890000000000004</v>
      </c>
      <c r="P43">
        <f t="shared" ref="P43:P46" si="64">O43/1000</f>
        <v>6.0890000000000007E-3</v>
      </c>
      <c r="Q43">
        <f t="shared" ref="Q43:Q46" si="65">(P43*365)/28</f>
        <v>7.9374464285714291E-2</v>
      </c>
    </row>
    <row r="44" spans="1:17" ht="15.75" thickBot="1" x14ac:dyDescent="0.3">
      <c r="A44" s="17"/>
      <c r="B44" s="7">
        <v>3</v>
      </c>
      <c r="C44">
        <v>0</v>
      </c>
      <c r="D44">
        <f>1608*1223</f>
        <v>1966584</v>
      </c>
      <c r="E44">
        <f>711.5*541.15</f>
        <v>385028.22499999998</v>
      </c>
      <c r="F44">
        <f t="shared" si="62"/>
        <v>0.385028225</v>
      </c>
      <c r="G44">
        <v>0</v>
      </c>
      <c r="H44">
        <v>0</v>
      </c>
      <c r="I44">
        <f t="shared" si="63"/>
        <v>0</v>
      </c>
      <c r="J44">
        <v>0</v>
      </c>
      <c r="K44">
        <f>C44/F44</f>
        <v>0</v>
      </c>
      <c r="O44">
        <v>17.765000000000001</v>
      </c>
      <c r="P44">
        <f t="shared" si="64"/>
        <v>1.7765E-2</v>
      </c>
      <c r="Q44">
        <f t="shared" si="65"/>
        <v>0.23157946428571427</v>
      </c>
    </row>
    <row r="45" spans="1:17" ht="15.75" thickBot="1" x14ac:dyDescent="0.3">
      <c r="A45" s="17"/>
      <c r="B45" s="7">
        <v>4</v>
      </c>
      <c r="C45">
        <v>0</v>
      </c>
      <c r="D45">
        <f>1611*1219</f>
        <v>1963809</v>
      </c>
      <c r="E45">
        <f>712.83*539.38</f>
        <v>384486.24540000001</v>
      </c>
      <c r="F45">
        <f t="shared" si="62"/>
        <v>0.38448624540000004</v>
      </c>
      <c r="G45">
        <v>0</v>
      </c>
      <c r="H45">
        <v>0</v>
      </c>
      <c r="I45">
        <f t="shared" si="63"/>
        <v>0</v>
      </c>
      <c r="J45">
        <v>0</v>
      </c>
      <c r="K45">
        <f>C45/F45</f>
        <v>0</v>
      </c>
      <c r="O45">
        <v>4.6559999999999997</v>
      </c>
      <c r="P45">
        <f t="shared" si="64"/>
        <v>4.6559999999999995E-3</v>
      </c>
      <c r="Q45">
        <f t="shared" si="65"/>
        <v>6.0694285714285708E-2</v>
      </c>
    </row>
    <row r="46" spans="1:17" ht="15.75" thickBot="1" x14ac:dyDescent="0.3">
      <c r="A46" s="18"/>
      <c r="B46" s="7">
        <v>5</v>
      </c>
      <c r="C46">
        <v>0</v>
      </c>
      <c r="D46">
        <f>1607*1219</f>
        <v>1958933</v>
      </c>
      <c r="E46">
        <f>711.06*539.38</f>
        <v>383531.5428</v>
      </c>
      <c r="F46">
        <f t="shared" si="62"/>
        <v>0.38353154280000001</v>
      </c>
      <c r="G46">
        <v>0</v>
      </c>
      <c r="H46">
        <v>0</v>
      </c>
      <c r="I46">
        <f t="shared" si="63"/>
        <v>0</v>
      </c>
      <c r="J46">
        <v>0</v>
      </c>
      <c r="K46">
        <f>C46/F46</f>
        <v>0</v>
      </c>
      <c r="O46">
        <v>7.2560000000000002</v>
      </c>
      <c r="P46">
        <f t="shared" si="64"/>
        <v>7.2560000000000003E-3</v>
      </c>
      <c r="Q46">
        <f t="shared" si="65"/>
        <v>9.4587142857142856E-2</v>
      </c>
    </row>
    <row r="47" spans="1:17" ht="15.75" thickBot="1" x14ac:dyDescent="0.3">
      <c r="A47" s="7" t="s">
        <v>18</v>
      </c>
      <c r="B47" s="4"/>
      <c r="C47" s="6">
        <f>AVERAGE(C42:C46)</f>
        <v>0</v>
      </c>
      <c r="D47" s="4">
        <f t="shared" ref="D47" si="66">AVERAGE(D42:D46)</f>
        <v>1956823.4</v>
      </c>
      <c r="E47" s="4">
        <f t="shared" ref="E47" si="67">AVERAGE(E42:E46)</f>
        <v>383119.01063999999</v>
      </c>
      <c r="F47" s="4">
        <f>AVERAGE(F42:F46)</f>
        <v>0.38311901064000004</v>
      </c>
      <c r="G47" s="4">
        <f t="shared" ref="G47" si="68">AVERAGE(G42:G46)</f>
        <v>0</v>
      </c>
      <c r="H47" s="4">
        <f t="shared" ref="H47" si="69">AVERAGE(H42:H46)</f>
        <v>0</v>
      </c>
      <c r="I47" s="4">
        <f>AVERAGE(I42:I46)</f>
        <v>0</v>
      </c>
      <c r="J47" s="4">
        <f>AVERAGE(J42:J46)</f>
        <v>0</v>
      </c>
      <c r="K47" s="4">
        <f>AVERAGE(K42:K46)</f>
        <v>0</v>
      </c>
      <c r="M47" s="4" t="e">
        <f t="shared" ref="M47" si="70">AVERAGE(M42:M46)</f>
        <v>#DIV/0!</v>
      </c>
      <c r="N47" s="4" t="e">
        <f t="shared" ref="N47" si="71">AVERAGE(N42:N46)</f>
        <v>#DIV/0!</v>
      </c>
      <c r="O47" s="4">
        <f t="shared" ref="O47" si="72">AVERAGE(O42:O46)</f>
        <v>7.9712000000000005</v>
      </c>
      <c r="P47" s="4">
        <f t="shared" ref="P47" si="73">AVERAGE(P42:P46)</f>
        <v>7.9711999999999995E-3</v>
      </c>
      <c r="Q47" s="4">
        <f t="shared" ref="Q47" si="74">AVERAGE(Q42:Q46)</f>
        <v>0.10391028571428571</v>
      </c>
    </row>
    <row r="48" spans="1:17" ht="15.75" thickBot="1" x14ac:dyDescent="0.3"/>
    <row r="49" spans="3:17" ht="16.5" thickBot="1" x14ac:dyDescent="0.3">
      <c r="C49" s="23" t="s">
        <v>22</v>
      </c>
      <c r="D49" s="24"/>
      <c r="E49" s="11"/>
      <c r="H49">
        <f>AVERAGE(H6,H14,H21,H36,H38)</f>
        <v>971.19640000000004</v>
      </c>
      <c r="J49">
        <f>AVERAGE(J2:J6,J10:J14,J18:J22,J26:J30,J34:J38,J42:J46)</f>
        <v>2.8243333333333336</v>
      </c>
      <c r="O49">
        <f>AVERAGE(O2:O6,O10:O14,O18:O22,O26:O30,O34:O38,O42:O46)</f>
        <v>11.810833333333331</v>
      </c>
      <c r="Q49">
        <f>AVERAGE(Q2:Q6,Q10:Q14,Q18:Q22,Q26:Q30,Q34:Q38,Q42:Q46)</f>
        <v>0.15396264880952379</v>
      </c>
    </row>
    <row r="50" spans="3:17" x14ac:dyDescent="0.25">
      <c r="C50" s="25" t="s">
        <v>23</v>
      </c>
      <c r="D50" s="26"/>
      <c r="E50" s="5"/>
    </row>
    <row r="51" spans="3:17" ht="15.75" thickBot="1" x14ac:dyDescent="0.3">
      <c r="C51" s="27" t="s">
        <v>24</v>
      </c>
      <c r="D51" s="28"/>
      <c r="E51" s="5"/>
    </row>
    <row r="52" spans="3:17" x14ac:dyDescent="0.25">
      <c r="C52" s="21" t="s">
        <v>25</v>
      </c>
      <c r="D52" s="22"/>
      <c r="E52" s="5"/>
    </row>
    <row r="53" spans="3:17" x14ac:dyDescent="0.25">
      <c r="C53" s="29" t="s">
        <v>26</v>
      </c>
      <c r="D53" s="30"/>
      <c r="E53" s="5"/>
    </row>
    <row r="54" spans="3:17" ht="15.75" thickBot="1" x14ac:dyDescent="0.3">
      <c r="C54" s="19" t="s">
        <v>27</v>
      </c>
      <c r="D54" s="20"/>
      <c r="E54" s="5"/>
    </row>
    <row r="55" spans="3:17" ht="15.75" thickBot="1" x14ac:dyDescent="0.3">
      <c r="C55" s="21" t="s">
        <v>28</v>
      </c>
      <c r="D55" s="22"/>
      <c r="E55" s="5"/>
    </row>
    <row r="56" spans="3:17" ht="15.75" thickBot="1" x14ac:dyDescent="0.3">
      <c r="C56" s="21" t="s">
        <v>29</v>
      </c>
      <c r="D56" s="22"/>
      <c r="E56" s="5"/>
      <c r="G56" s="12"/>
      <c r="H56" s="12"/>
    </row>
    <row r="57" spans="3:17" ht="15.75" thickBot="1" x14ac:dyDescent="0.3">
      <c r="C57" s="9" t="s">
        <v>30</v>
      </c>
      <c r="D57" s="13">
        <v>0.19578576490285401</v>
      </c>
      <c r="E57" s="5"/>
    </row>
    <row r="58" spans="3:17" x14ac:dyDescent="0.25">
      <c r="C58" s="5"/>
      <c r="D58" s="5"/>
      <c r="E58" s="5"/>
    </row>
    <row r="59" spans="3:17" x14ac:dyDescent="0.25">
      <c r="C59" s="5"/>
      <c r="D59" s="5"/>
    </row>
  </sheetData>
  <mergeCells count="14">
    <mergeCell ref="C54:D54"/>
    <mergeCell ref="C55:D55"/>
    <mergeCell ref="C56:D56"/>
    <mergeCell ref="C49:D49"/>
    <mergeCell ref="C50:D50"/>
    <mergeCell ref="C51:D51"/>
    <mergeCell ref="C52:D52"/>
    <mergeCell ref="C53:D53"/>
    <mergeCell ref="A42:A46"/>
    <mergeCell ref="A2:A6"/>
    <mergeCell ref="A10:A14"/>
    <mergeCell ref="A18:A22"/>
    <mergeCell ref="A26:A30"/>
    <mergeCell ref="A34:A3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51557-5CB7-4086-B083-667866EE185E}">
  <dimension ref="A1:J35"/>
  <sheetViews>
    <sheetView workbookViewId="0">
      <selection activeCell="C3" sqref="C3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10" ht="15.75" thickBot="1" x14ac:dyDescent="0.3">
      <c r="A1" s="1" t="s">
        <v>17</v>
      </c>
      <c r="B1" s="14" t="s">
        <v>4</v>
      </c>
      <c r="C1" s="1" t="s">
        <v>5</v>
      </c>
      <c r="D1" s="5"/>
    </row>
    <row r="2" spans="1:10" ht="16.5" thickBot="1" x14ac:dyDescent="0.3">
      <c r="A2" t="s">
        <v>35</v>
      </c>
      <c r="F2" s="23" t="s">
        <v>22</v>
      </c>
      <c r="G2" s="24"/>
    </row>
    <row r="3" spans="1:10" x14ac:dyDescent="0.25">
      <c r="A3">
        <v>1</v>
      </c>
      <c r="B3">
        <v>1027.684</v>
      </c>
      <c r="C3">
        <f>B3/1000000</f>
        <v>1.0276840000000001E-3</v>
      </c>
      <c r="F3" s="25" t="s">
        <v>23</v>
      </c>
      <c r="G3" s="26"/>
      <c r="J3" s="5"/>
    </row>
    <row r="4" spans="1:10" ht="15.75" thickBot="1" x14ac:dyDescent="0.3">
      <c r="A4">
        <v>2</v>
      </c>
      <c r="B4">
        <v>1420.0409999999999</v>
      </c>
      <c r="C4">
        <f t="shared" ref="C4:C16" si="0">B4/1000000</f>
        <v>1.4200409999999999E-3</v>
      </c>
      <c r="F4" s="27" t="s">
        <v>24</v>
      </c>
      <c r="G4" s="28"/>
      <c r="H4" s="10"/>
    </row>
    <row r="5" spans="1:10" x14ac:dyDescent="0.25">
      <c r="A5">
        <v>3</v>
      </c>
      <c r="B5">
        <v>929.20399999999995</v>
      </c>
      <c r="C5">
        <f t="shared" si="0"/>
        <v>9.2920399999999999E-4</v>
      </c>
      <c r="F5" s="5"/>
      <c r="G5" s="5"/>
    </row>
    <row r="6" spans="1:10" x14ac:dyDescent="0.25">
      <c r="A6">
        <v>4</v>
      </c>
      <c r="B6">
        <v>1031.0129999999999</v>
      </c>
      <c r="C6">
        <f t="shared" si="0"/>
        <v>1.0310129999999999E-3</v>
      </c>
      <c r="F6" s="5"/>
      <c r="G6" s="5"/>
    </row>
    <row r="7" spans="1:10" x14ac:dyDescent="0.25">
      <c r="A7">
        <v>5</v>
      </c>
      <c r="B7">
        <v>1062.338</v>
      </c>
      <c r="C7">
        <f t="shared" si="0"/>
        <v>1.0623379999999999E-3</v>
      </c>
    </row>
    <row r="8" spans="1:10" x14ac:dyDescent="0.25">
      <c r="A8">
        <v>6</v>
      </c>
      <c r="B8">
        <v>1109.1310000000001</v>
      </c>
      <c r="C8">
        <f t="shared" si="0"/>
        <v>1.1091310000000002E-3</v>
      </c>
    </row>
    <row r="9" spans="1:10" x14ac:dyDescent="0.25">
      <c r="A9">
        <v>7</v>
      </c>
      <c r="B9">
        <v>767.09199999999998</v>
      </c>
      <c r="C9">
        <f t="shared" si="0"/>
        <v>7.6709200000000003E-4</v>
      </c>
    </row>
    <row r="10" spans="1:10" x14ac:dyDescent="0.25">
      <c r="A10">
        <v>8</v>
      </c>
      <c r="B10">
        <v>810.94799999999998</v>
      </c>
      <c r="C10">
        <f t="shared" si="0"/>
        <v>8.1094800000000003E-4</v>
      </c>
    </row>
    <row r="11" spans="1:10" x14ac:dyDescent="0.25">
      <c r="A11">
        <v>9</v>
      </c>
      <c r="B11">
        <v>1702.365</v>
      </c>
      <c r="C11">
        <f t="shared" si="0"/>
        <v>1.702365E-3</v>
      </c>
    </row>
    <row r="12" spans="1:10" x14ac:dyDescent="0.25">
      <c r="A12">
        <v>10</v>
      </c>
      <c r="B12">
        <v>744.38099999999997</v>
      </c>
      <c r="C12">
        <f t="shared" si="0"/>
        <v>7.4438100000000001E-4</v>
      </c>
    </row>
    <row r="13" spans="1:10" x14ac:dyDescent="0.25">
      <c r="A13">
        <v>11</v>
      </c>
      <c r="B13">
        <v>1183.335</v>
      </c>
      <c r="C13">
        <f t="shared" si="0"/>
        <v>1.183335E-3</v>
      </c>
    </row>
    <row r="14" spans="1:10" x14ac:dyDescent="0.25">
      <c r="A14">
        <v>12</v>
      </c>
      <c r="B14">
        <v>767.28800000000001</v>
      </c>
      <c r="C14">
        <f t="shared" si="0"/>
        <v>7.6728799999999998E-4</v>
      </c>
    </row>
    <row r="15" spans="1:10" x14ac:dyDescent="0.25">
      <c r="A15">
        <v>13</v>
      </c>
      <c r="B15">
        <v>650.01199999999994</v>
      </c>
      <c r="C15">
        <f t="shared" si="0"/>
        <v>6.5001199999999994E-4</v>
      </c>
    </row>
    <row r="16" spans="1:10" x14ac:dyDescent="0.25">
      <c r="A16">
        <v>14</v>
      </c>
      <c r="B16">
        <v>898.26900000000001</v>
      </c>
      <c r="C16">
        <f t="shared" si="0"/>
        <v>8.9826900000000004E-4</v>
      </c>
    </row>
    <row r="17" spans="1:3" x14ac:dyDescent="0.25">
      <c r="A17" t="s">
        <v>36</v>
      </c>
    </row>
    <row r="18" spans="1:3" x14ac:dyDescent="0.25">
      <c r="A18">
        <v>1</v>
      </c>
      <c r="B18">
        <v>824.84900000000005</v>
      </c>
      <c r="C18">
        <f>B18/1000000</f>
        <v>8.24849E-4</v>
      </c>
    </row>
    <row r="19" spans="1:3" x14ac:dyDescent="0.25">
      <c r="A19">
        <v>2</v>
      </c>
      <c r="B19">
        <v>1812.789</v>
      </c>
      <c r="C19">
        <f t="shared" ref="C19:C29" si="1">B19/1000000</f>
        <v>1.812789E-3</v>
      </c>
    </row>
    <row r="20" spans="1:3" x14ac:dyDescent="0.25">
      <c r="A20">
        <v>3</v>
      </c>
      <c r="B20">
        <v>746.92600000000004</v>
      </c>
      <c r="C20">
        <f t="shared" si="1"/>
        <v>7.4692600000000008E-4</v>
      </c>
    </row>
    <row r="21" spans="1:3" x14ac:dyDescent="0.25">
      <c r="A21">
        <v>4</v>
      </c>
      <c r="B21">
        <v>946.62900000000002</v>
      </c>
      <c r="C21">
        <f t="shared" si="1"/>
        <v>9.4662900000000005E-4</v>
      </c>
    </row>
    <row r="22" spans="1:3" x14ac:dyDescent="0.25">
      <c r="A22">
        <v>5</v>
      </c>
      <c r="B22">
        <v>815.25599999999997</v>
      </c>
      <c r="C22">
        <f t="shared" si="1"/>
        <v>8.1525599999999999E-4</v>
      </c>
    </row>
    <row r="23" spans="1:3" x14ac:dyDescent="0.25">
      <c r="A23" t="s">
        <v>37</v>
      </c>
    </row>
    <row r="24" spans="1:3" x14ac:dyDescent="0.25">
      <c r="A24">
        <v>1</v>
      </c>
      <c r="B24">
        <v>690.14800000000002</v>
      </c>
      <c r="C24">
        <f>B24/1000000</f>
        <v>6.9014800000000002E-4</v>
      </c>
    </row>
    <row r="25" spans="1:3" x14ac:dyDescent="0.25">
      <c r="A25" t="s">
        <v>38</v>
      </c>
    </row>
    <row r="26" spans="1:3" x14ac:dyDescent="0.25">
      <c r="A26">
        <v>1</v>
      </c>
      <c r="B26">
        <v>1429.4380000000001</v>
      </c>
      <c r="C26">
        <f t="shared" si="1"/>
        <v>1.4294380000000001E-3</v>
      </c>
    </row>
    <row r="27" spans="1:3" x14ac:dyDescent="0.25">
      <c r="A27">
        <v>2</v>
      </c>
      <c r="B27">
        <v>739.29</v>
      </c>
      <c r="C27">
        <f t="shared" si="1"/>
        <v>7.3928999999999998E-4</v>
      </c>
    </row>
    <row r="28" spans="1:3" x14ac:dyDescent="0.25">
      <c r="A28">
        <v>3</v>
      </c>
      <c r="B28">
        <v>875.95</v>
      </c>
      <c r="C28">
        <f t="shared" si="1"/>
        <v>8.7595000000000001E-4</v>
      </c>
    </row>
    <row r="29" spans="1:3" x14ac:dyDescent="0.25">
      <c r="A29">
        <v>4</v>
      </c>
      <c r="B29">
        <v>711.29300000000001</v>
      </c>
      <c r="C29">
        <f t="shared" si="1"/>
        <v>7.1129299999999999E-4</v>
      </c>
    </row>
    <row r="30" spans="1:3" x14ac:dyDescent="0.25">
      <c r="A30" t="s">
        <v>39</v>
      </c>
    </row>
    <row r="31" spans="1:3" x14ac:dyDescent="0.25">
      <c r="A31">
        <v>1</v>
      </c>
      <c r="B31">
        <v>953.09</v>
      </c>
      <c r="C31">
        <f>B31/1000000</f>
        <v>9.5309000000000008E-4</v>
      </c>
    </row>
    <row r="32" spans="1:3" x14ac:dyDescent="0.25">
      <c r="A32">
        <v>2</v>
      </c>
      <c r="B32">
        <v>748.29700000000003</v>
      </c>
      <c r="C32">
        <f t="shared" ref="C32:C35" si="2">B32/1000000</f>
        <v>7.4829699999999998E-4</v>
      </c>
    </row>
    <row r="33" spans="1:3" x14ac:dyDescent="0.25">
      <c r="A33">
        <v>3</v>
      </c>
      <c r="B33">
        <v>661.36699999999996</v>
      </c>
      <c r="C33">
        <f t="shared" si="2"/>
        <v>6.6136699999999994E-4</v>
      </c>
    </row>
    <row r="34" spans="1:3" x14ac:dyDescent="0.25">
      <c r="A34">
        <v>4</v>
      </c>
      <c r="B34">
        <v>2660.741</v>
      </c>
      <c r="C34">
        <f t="shared" si="2"/>
        <v>2.6607409999999999E-3</v>
      </c>
    </row>
    <row r="35" spans="1:3" x14ac:dyDescent="0.25">
      <c r="A35">
        <v>5</v>
      </c>
      <c r="B35">
        <v>927.44100000000003</v>
      </c>
      <c r="C35">
        <f t="shared" si="2"/>
        <v>9.2744099999999999E-4</v>
      </c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457F8-A149-4AFD-9295-B5DF42205AA8}">
  <dimension ref="A1:Q59"/>
  <sheetViews>
    <sheetView tabSelected="1" topLeftCell="A18" workbookViewId="0">
      <selection activeCell="H50" sqref="H50"/>
    </sheetView>
  </sheetViews>
  <sheetFormatPr defaultRowHeight="15" x14ac:dyDescent="0.25"/>
  <cols>
    <col min="2" max="2" width="2.85546875" bestFit="1" customWidth="1"/>
    <col min="3" max="3" width="10.85546875" bestFit="1" customWidth="1"/>
    <col min="4" max="4" width="13.28515625" bestFit="1" customWidth="1"/>
    <col min="5" max="6" width="17.140625" bestFit="1" customWidth="1"/>
    <col min="7" max="7" width="21.7109375" bestFit="1" customWidth="1"/>
    <col min="8" max="9" width="20.42578125" bestFit="1" customWidth="1"/>
    <col min="11" max="11" width="28.42578125" bestFit="1" customWidth="1"/>
    <col min="13" max="13" width="14.140625" bestFit="1" customWidth="1"/>
    <col min="14" max="14" width="14.42578125" bestFit="1" customWidth="1"/>
    <col min="15" max="15" width="24.5703125" bestFit="1" customWidth="1"/>
    <col min="16" max="16" width="10.85546875" bestFit="1" customWidth="1"/>
    <col min="17" max="17" width="17.140625" bestFit="1" customWidth="1"/>
  </cols>
  <sheetData>
    <row r="1" spans="1:17" ht="15.75" thickBot="1" x14ac:dyDescent="0.3">
      <c r="A1" s="7" t="s">
        <v>31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spans="1:17" ht="15.75" thickBot="1" x14ac:dyDescent="0.3">
      <c r="A2" s="16" t="s">
        <v>19</v>
      </c>
      <c r="B2" s="7">
        <v>1</v>
      </c>
      <c r="C2">
        <v>0</v>
      </c>
      <c r="D2">
        <f>1598*1218</f>
        <v>1946364</v>
      </c>
      <c r="E2">
        <f>707.08*538.94</f>
        <v>381073.69520000007</v>
      </c>
      <c r="F2">
        <f>E2/1000000</f>
        <v>0.38107369520000006</v>
      </c>
      <c r="G2">
        <v>0</v>
      </c>
      <c r="H2">
        <v>0</v>
      </c>
      <c r="I2">
        <f>H2/1000000</f>
        <v>0</v>
      </c>
      <c r="J2">
        <v>0</v>
      </c>
      <c r="K2">
        <f>C2/F2</f>
        <v>0</v>
      </c>
      <c r="L2" s="5">
        <v>3</v>
      </c>
      <c r="O2">
        <v>4.8470000000000004</v>
      </c>
      <c r="P2">
        <f>O2/1000</f>
        <v>4.8470000000000006E-3</v>
      </c>
      <c r="Q2">
        <f>(P2*365)/28</f>
        <v>6.3184107142857146E-2</v>
      </c>
    </row>
    <row r="3" spans="1:17" ht="15.75" thickBot="1" x14ac:dyDescent="0.3">
      <c r="A3" s="17"/>
      <c r="B3" s="7">
        <v>2</v>
      </c>
      <c r="C3">
        <v>1</v>
      </c>
      <c r="D3">
        <f>1607*1191</f>
        <v>1913937</v>
      </c>
      <c r="E3">
        <f>711.06*526.99</f>
        <v>374721.50939999998</v>
      </c>
      <c r="F3">
        <f t="shared" ref="F3:F6" si="0">E3/1000000</f>
        <v>0.37472150939999999</v>
      </c>
      <c r="G3">
        <v>1909.5070000000001</v>
      </c>
      <c r="H3">
        <v>1909.5070000000001</v>
      </c>
      <c r="I3">
        <f t="shared" ref="I3:I6" si="1">H3/1000000</f>
        <v>1.909507E-3</v>
      </c>
      <c r="J3">
        <v>0.51</v>
      </c>
      <c r="K3">
        <f>C3/F3</f>
        <v>2.6686485160704789</v>
      </c>
      <c r="L3" s="5">
        <v>6</v>
      </c>
      <c r="O3">
        <v>12.305999999999999</v>
      </c>
      <c r="P3">
        <f t="shared" ref="P3:P6" si="2">O3/1000</f>
        <v>1.2305999999999999E-2</v>
      </c>
      <c r="Q3">
        <f t="shared" ref="Q3:Q6" si="3">(P3*365)/28</f>
        <v>0.16041749999999996</v>
      </c>
    </row>
    <row r="4" spans="1:17" ht="15.75" thickBot="1" x14ac:dyDescent="0.3">
      <c r="A4" s="17"/>
      <c r="B4" s="7">
        <v>3</v>
      </c>
      <c r="C4">
        <v>0</v>
      </c>
      <c r="D4">
        <f>1607*1219</f>
        <v>1958933</v>
      </c>
      <c r="E4">
        <f>711.06*539.38</f>
        <v>383531.5428</v>
      </c>
      <c r="F4">
        <f t="shared" si="0"/>
        <v>0.38353154280000001</v>
      </c>
      <c r="G4">
        <v>0</v>
      </c>
      <c r="H4">
        <v>0</v>
      </c>
      <c r="I4">
        <f t="shared" si="1"/>
        <v>0</v>
      </c>
      <c r="J4">
        <v>0</v>
      </c>
      <c r="K4">
        <f>C4/F4</f>
        <v>0</v>
      </c>
      <c r="L4" s="5">
        <v>9</v>
      </c>
      <c r="O4">
        <v>17.117999999999999</v>
      </c>
      <c r="P4">
        <f t="shared" si="2"/>
        <v>1.7117999999999998E-2</v>
      </c>
      <c r="Q4">
        <f t="shared" si="3"/>
        <v>0.22314535714285713</v>
      </c>
    </row>
    <row r="5" spans="1:17" ht="15.75" thickBot="1" x14ac:dyDescent="0.3">
      <c r="A5" s="17"/>
      <c r="B5" s="7">
        <v>4</v>
      </c>
      <c r="C5">
        <v>0</v>
      </c>
      <c r="D5">
        <f>1606*1219</f>
        <v>1957714</v>
      </c>
      <c r="E5">
        <f>710.62*539.38</f>
        <v>383294.2156</v>
      </c>
      <c r="F5">
        <f t="shared" si="0"/>
        <v>0.38329421559999999</v>
      </c>
      <c r="G5">
        <v>0</v>
      </c>
      <c r="H5">
        <v>0</v>
      </c>
      <c r="I5">
        <f t="shared" si="1"/>
        <v>0</v>
      </c>
      <c r="J5">
        <v>0</v>
      </c>
      <c r="K5">
        <f>C5/F5</f>
        <v>0</v>
      </c>
      <c r="L5" s="5">
        <v>12</v>
      </c>
      <c r="O5">
        <v>6.6280000000000001</v>
      </c>
      <c r="P5">
        <f t="shared" si="2"/>
        <v>6.6280000000000002E-3</v>
      </c>
      <c r="Q5">
        <f t="shared" si="3"/>
        <v>8.6400714285714289E-2</v>
      </c>
    </row>
    <row r="6" spans="1:17" ht="15.75" thickBot="1" x14ac:dyDescent="0.3">
      <c r="A6" s="18"/>
      <c r="B6" s="7">
        <v>5</v>
      </c>
      <c r="C6">
        <v>0</v>
      </c>
      <c r="D6">
        <f>1578*1214</f>
        <v>1915692</v>
      </c>
      <c r="E6">
        <f>698.23*537.17</f>
        <v>375068.20909999998</v>
      </c>
      <c r="F6">
        <f t="shared" si="0"/>
        <v>0.37506820909999999</v>
      </c>
      <c r="G6">
        <v>0</v>
      </c>
      <c r="H6">
        <v>0</v>
      </c>
      <c r="I6">
        <f t="shared" si="1"/>
        <v>0</v>
      </c>
      <c r="J6">
        <v>0</v>
      </c>
      <c r="K6">
        <f>C6/F6</f>
        <v>0</v>
      </c>
      <c r="L6" s="5" t="s">
        <v>17</v>
      </c>
      <c r="O6">
        <v>6.8019999999999996</v>
      </c>
      <c r="P6">
        <f t="shared" si="2"/>
        <v>6.8019999999999999E-3</v>
      </c>
      <c r="Q6">
        <f t="shared" si="3"/>
        <v>8.8668928571428579E-2</v>
      </c>
    </row>
    <row r="7" spans="1:17" ht="15.75" thickBot="1" x14ac:dyDescent="0.3">
      <c r="A7" s="7" t="s">
        <v>18</v>
      </c>
      <c r="B7" s="4"/>
      <c r="C7" s="6">
        <f>AVERAGE(C2:C6)</f>
        <v>0.2</v>
      </c>
      <c r="D7" s="4">
        <f t="shared" ref="D7:H7" si="4">AVERAGE(D2:D6)</f>
        <v>1938528</v>
      </c>
      <c r="E7" s="4">
        <f t="shared" si="4"/>
        <v>379537.83442000003</v>
      </c>
      <c r="F7" s="4">
        <f>AVERAGE(F2:F6)</f>
        <v>0.37953783442</v>
      </c>
      <c r="G7" s="4">
        <f t="shared" si="4"/>
        <v>381.90140000000002</v>
      </c>
      <c r="H7" s="4">
        <f t="shared" si="4"/>
        <v>381.90140000000002</v>
      </c>
      <c r="I7" s="4">
        <f>AVERAGE(I2:I6)</f>
        <v>3.819014E-4</v>
      </c>
      <c r="J7" s="4">
        <f>AVERAGE(J2:J6)</f>
        <v>0.10200000000000001</v>
      </c>
      <c r="K7" s="4">
        <f>AVERAGE(K2:K6)</f>
        <v>0.53372970321409574</v>
      </c>
      <c r="M7" s="4" t="e">
        <f t="shared" ref="M7:Q7" si="5">AVERAGE(M2:M6)</f>
        <v>#DIV/0!</v>
      </c>
      <c r="N7" s="4" t="e">
        <f t="shared" si="5"/>
        <v>#DIV/0!</v>
      </c>
      <c r="O7" s="4">
        <f t="shared" si="5"/>
        <v>9.5402000000000005</v>
      </c>
      <c r="P7" s="4">
        <f t="shared" si="5"/>
        <v>9.5402000000000004E-3</v>
      </c>
      <c r="Q7" s="4">
        <f t="shared" si="5"/>
        <v>0.12436332142857143</v>
      </c>
    </row>
    <row r="8" spans="1:17" ht="15.75" thickBot="1" x14ac:dyDescent="0.3"/>
    <row r="9" spans="1:17" ht="15.75" thickBot="1" x14ac:dyDescent="0.3">
      <c r="A9" s="7" t="s">
        <v>31</v>
      </c>
      <c r="B9" s="4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2" t="s">
        <v>7</v>
      </c>
      <c r="I9" s="2" t="s">
        <v>8</v>
      </c>
      <c r="J9" s="3" t="s">
        <v>9</v>
      </c>
      <c r="K9" s="1" t="s">
        <v>10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</row>
    <row r="10" spans="1:17" ht="15.75" thickBot="1" x14ac:dyDescent="0.3">
      <c r="A10" s="16" t="s">
        <v>20</v>
      </c>
      <c r="B10" s="7">
        <v>1</v>
      </c>
      <c r="C10">
        <v>0</v>
      </c>
      <c r="D10">
        <f>1612*1223</f>
        <v>1971476</v>
      </c>
      <c r="E10">
        <f>713.27*541.15</f>
        <v>385986.06049999996</v>
      </c>
      <c r="F10">
        <f>E10/1000000</f>
        <v>0.38598606049999995</v>
      </c>
      <c r="G10">
        <v>0</v>
      </c>
      <c r="H10">
        <v>0</v>
      </c>
      <c r="I10">
        <f>H10/1000000</f>
        <v>0</v>
      </c>
      <c r="J10">
        <v>0</v>
      </c>
      <c r="K10">
        <f>C10/F10</f>
        <v>0</v>
      </c>
      <c r="O10">
        <v>6.3079999999999998</v>
      </c>
      <c r="P10">
        <f>O10/1000</f>
        <v>6.3080000000000002E-3</v>
      </c>
      <c r="Q10">
        <f>(P10*365)/28</f>
        <v>8.2229285714285713E-2</v>
      </c>
    </row>
    <row r="11" spans="1:17" ht="15.75" thickBot="1" x14ac:dyDescent="0.3">
      <c r="A11" s="17"/>
      <c r="B11" s="7">
        <v>2</v>
      </c>
      <c r="C11">
        <v>0</v>
      </c>
      <c r="D11">
        <f>1608*1218</f>
        <v>1958544</v>
      </c>
      <c r="E11">
        <f>711.5*538.94</f>
        <v>383455.81000000006</v>
      </c>
      <c r="F11">
        <f t="shared" ref="F11:F14" si="6">E11/1000000</f>
        <v>0.38345581000000006</v>
      </c>
      <c r="G11">
        <v>0</v>
      </c>
      <c r="H11">
        <v>0</v>
      </c>
      <c r="I11">
        <f t="shared" ref="I11:I14" si="7">H11/1000000</f>
        <v>0</v>
      </c>
      <c r="J11">
        <v>0</v>
      </c>
      <c r="K11">
        <f>C11/F11</f>
        <v>0</v>
      </c>
      <c r="O11">
        <v>4.7110000000000003</v>
      </c>
      <c r="P11">
        <f t="shared" ref="P11:P14" si="8">O11/1000</f>
        <v>4.7109999999999999E-3</v>
      </c>
      <c r="Q11">
        <f t="shared" ref="Q11:Q14" si="9">(P11*365)/28</f>
        <v>6.1411249999999994E-2</v>
      </c>
    </row>
    <row r="12" spans="1:17" ht="15.75" thickBot="1" x14ac:dyDescent="0.3">
      <c r="A12" s="17"/>
      <c r="B12" s="7">
        <v>3</v>
      </c>
      <c r="C12">
        <v>0</v>
      </c>
      <c r="D12">
        <f>1598*1217</f>
        <v>1944766</v>
      </c>
      <c r="E12">
        <f>702.88*535.297</f>
        <v>376249.55536</v>
      </c>
      <c r="F12">
        <f t="shared" si="6"/>
        <v>0.37624955535999999</v>
      </c>
      <c r="G12">
        <v>0</v>
      </c>
      <c r="H12">
        <v>0</v>
      </c>
      <c r="I12">
        <f t="shared" si="7"/>
        <v>0</v>
      </c>
      <c r="J12">
        <v>0</v>
      </c>
      <c r="K12">
        <f>C12/F12</f>
        <v>0</v>
      </c>
      <c r="O12">
        <v>3.62</v>
      </c>
      <c r="P12">
        <f t="shared" si="8"/>
        <v>3.62E-3</v>
      </c>
      <c r="Q12">
        <f t="shared" si="9"/>
        <v>4.7189285714285711E-2</v>
      </c>
    </row>
    <row r="13" spans="1:17" ht="15.75" thickBot="1" x14ac:dyDescent="0.3">
      <c r="A13" s="17"/>
      <c r="B13" s="7">
        <v>4</v>
      </c>
      <c r="C13">
        <v>0</v>
      </c>
      <c r="D13">
        <f>1572*1215</f>
        <v>1909980</v>
      </c>
      <c r="E13">
        <f>691.443*534.417</f>
        <v>369518.89373100002</v>
      </c>
      <c r="F13">
        <f t="shared" si="6"/>
        <v>0.369518893731</v>
      </c>
      <c r="G13">
        <v>0</v>
      </c>
      <c r="H13">
        <v>0</v>
      </c>
      <c r="I13">
        <f t="shared" si="7"/>
        <v>0</v>
      </c>
      <c r="J13">
        <v>0</v>
      </c>
      <c r="K13">
        <f>C13/F13</f>
        <v>0</v>
      </c>
      <c r="O13">
        <v>5.7050000000000001</v>
      </c>
      <c r="P13">
        <f t="shared" si="8"/>
        <v>5.705E-3</v>
      </c>
      <c r="Q13">
        <f t="shared" si="9"/>
        <v>7.4368749999999997E-2</v>
      </c>
    </row>
    <row r="14" spans="1:17" ht="15.75" thickBot="1" x14ac:dyDescent="0.3">
      <c r="A14" s="18"/>
      <c r="B14" s="7">
        <v>5</v>
      </c>
      <c r="C14">
        <v>4</v>
      </c>
      <c r="D14">
        <f>1608*1104</f>
        <v>1775232</v>
      </c>
      <c r="E14">
        <f>711.5*488.5</f>
        <v>347567.75</v>
      </c>
      <c r="F14">
        <f t="shared" si="6"/>
        <v>0.34756775000000001</v>
      </c>
      <c r="G14">
        <v>3544.326</v>
      </c>
      <c r="H14">
        <v>886.08100000000002</v>
      </c>
      <c r="I14">
        <f t="shared" si="7"/>
        <v>8.8608100000000004E-4</v>
      </c>
      <c r="J14">
        <v>30.367000000000001</v>
      </c>
      <c r="K14">
        <f>C14/F14</f>
        <v>11.508547614098259</v>
      </c>
      <c r="O14">
        <v>11.831</v>
      </c>
      <c r="P14">
        <f t="shared" si="8"/>
        <v>1.1831E-2</v>
      </c>
      <c r="Q14">
        <f t="shared" si="9"/>
        <v>0.15422553571428571</v>
      </c>
    </row>
    <row r="15" spans="1:17" ht="15.75" thickBot="1" x14ac:dyDescent="0.3">
      <c r="A15" s="7" t="s">
        <v>18</v>
      </c>
      <c r="B15" s="4"/>
      <c r="C15" s="6">
        <f>AVERAGE(C10:C14)</f>
        <v>0.8</v>
      </c>
      <c r="D15" s="4">
        <f t="shared" ref="D15:E15" si="10">AVERAGE(D10:D14)</f>
        <v>1911999.6</v>
      </c>
      <c r="E15" s="4">
        <f t="shared" si="10"/>
        <v>372555.61391819996</v>
      </c>
      <c r="F15" s="4">
        <f>AVERAGE(F10:F14)</f>
        <v>0.37255561391820002</v>
      </c>
      <c r="G15" s="4">
        <f t="shared" ref="G15:H15" si="11">AVERAGE(G10:G14)</f>
        <v>708.86519999999996</v>
      </c>
      <c r="H15" s="4">
        <f t="shared" si="11"/>
        <v>177.21620000000001</v>
      </c>
      <c r="I15" s="4">
        <f>AVERAGE(I10:I14)</f>
        <v>1.7721620000000002E-4</v>
      </c>
      <c r="J15" s="4">
        <f>AVERAGE(J10:J14)</f>
        <v>6.0734000000000004</v>
      </c>
      <c r="K15" s="4">
        <f>AVERAGE(K10:K14)</f>
        <v>2.3017095228196518</v>
      </c>
      <c r="M15" s="4" t="e">
        <f t="shared" ref="M15:Q15" si="12">AVERAGE(M10:M14)</f>
        <v>#DIV/0!</v>
      </c>
      <c r="N15" s="4" t="e">
        <f t="shared" si="12"/>
        <v>#DIV/0!</v>
      </c>
      <c r="O15" s="4">
        <f t="shared" si="12"/>
        <v>6.4349999999999996</v>
      </c>
      <c r="P15" s="4">
        <f t="shared" si="12"/>
        <v>6.4350000000000006E-3</v>
      </c>
      <c r="Q15" s="4">
        <f t="shared" si="12"/>
        <v>8.3884821428571427E-2</v>
      </c>
    </row>
    <row r="16" spans="1:17" ht="15.75" thickBot="1" x14ac:dyDescent="0.3"/>
    <row r="17" spans="1:17" ht="15.75" thickBot="1" x14ac:dyDescent="0.3">
      <c r="A17" s="7" t="s">
        <v>31</v>
      </c>
      <c r="B17" s="4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2" t="s">
        <v>7</v>
      </c>
      <c r="I17" s="2" t="s">
        <v>8</v>
      </c>
      <c r="J17" s="3" t="s">
        <v>9</v>
      </c>
      <c r="K17" s="1" t="s">
        <v>10</v>
      </c>
      <c r="M17" s="8" t="s">
        <v>12</v>
      </c>
      <c r="N17" s="8" t="s">
        <v>13</v>
      </c>
      <c r="O17" s="8" t="s">
        <v>14</v>
      </c>
      <c r="P17" s="8" t="s">
        <v>15</v>
      </c>
      <c r="Q17" s="8" t="s">
        <v>16</v>
      </c>
    </row>
    <row r="18" spans="1:17" ht="15.75" thickBot="1" x14ac:dyDescent="0.3">
      <c r="A18" s="16" t="s">
        <v>21</v>
      </c>
      <c r="B18" s="7">
        <v>1</v>
      </c>
      <c r="C18">
        <v>1</v>
      </c>
      <c r="D18">
        <f>1610*1220</f>
        <v>1964200</v>
      </c>
      <c r="E18">
        <f>712.39*539.82</f>
        <v>384562.36980000004</v>
      </c>
      <c r="F18">
        <f>E18/1000000</f>
        <v>0.38456236980000003</v>
      </c>
      <c r="G18">
        <v>1058.8140000000001</v>
      </c>
      <c r="H18">
        <v>1058.8140000000001</v>
      </c>
      <c r="I18">
        <f>H18/1000000</f>
        <v>1.0588140000000002E-3</v>
      </c>
      <c r="J18">
        <v>0.27500000000000002</v>
      </c>
      <c r="K18">
        <f>C18/F18</f>
        <v>2.6003584295573994</v>
      </c>
      <c r="O18">
        <v>8.3260000000000005</v>
      </c>
      <c r="P18">
        <f>O18/1000</f>
        <v>8.3260000000000001E-3</v>
      </c>
      <c r="Q18">
        <f>(P18*365)/28</f>
        <v>0.10853535714285714</v>
      </c>
    </row>
    <row r="19" spans="1:17" ht="15.75" thickBot="1" x14ac:dyDescent="0.3">
      <c r="A19" s="17"/>
      <c r="B19" s="7">
        <v>2</v>
      </c>
      <c r="C19">
        <v>0</v>
      </c>
      <c r="D19">
        <f>1605*991</f>
        <v>1590555</v>
      </c>
      <c r="E19">
        <f>706.036*435.939</f>
        <v>307788.62780399999</v>
      </c>
      <c r="F19">
        <f t="shared" ref="F19:F22" si="13">E19/1000000</f>
        <v>0.30778862780400001</v>
      </c>
      <c r="G19">
        <v>0</v>
      </c>
      <c r="H19">
        <v>0</v>
      </c>
      <c r="I19">
        <f t="shared" ref="I19:I22" si="14">H19/1000000</f>
        <v>0</v>
      </c>
      <c r="J19">
        <v>0</v>
      </c>
      <c r="K19">
        <f>C19/F19</f>
        <v>0</v>
      </c>
      <c r="O19">
        <v>5.3739999999999997</v>
      </c>
      <c r="P19">
        <f t="shared" ref="P19:P22" si="15">O19/1000</f>
        <v>5.3739999999999994E-3</v>
      </c>
      <c r="Q19">
        <f t="shared" ref="Q19:Q22" si="16">(P19*365)/28</f>
        <v>7.0053928571428573E-2</v>
      </c>
    </row>
    <row r="20" spans="1:17" ht="15.75" thickBot="1" x14ac:dyDescent="0.3">
      <c r="A20" s="17"/>
      <c r="B20" s="7">
        <v>3</v>
      </c>
      <c r="C20">
        <v>0</v>
      </c>
      <c r="D20">
        <f>1609*1208</f>
        <v>1943672</v>
      </c>
      <c r="E20">
        <f>707.796*531.397</f>
        <v>376120.67101200006</v>
      </c>
      <c r="F20">
        <f t="shared" si="13"/>
        <v>0.37612067101200009</v>
      </c>
      <c r="G20">
        <v>0</v>
      </c>
      <c r="H20">
        <v>0</v>
      </c>
      <c r="I20">
        <f t="shared" si="14"/>
        <v>0</v>
      </c>
      <c r="J20">
        <v>0</v>
      </c>
      <c r="K20">
        <f>C20/F20</f>
        <v>0</v>
      </c>
      <c r="O20">
        <v>5.3970000000000002</v>
      </c>
      <c r="P20">
        <f t="shared" si="15"/>
        <v>5.3969999999999999E-3</v>
      </c>
      <c r="Q20">
        <f t="shared" si="16"/>
        <v>7.0353750000000007E-2</v>
      </c>
    </row>
    <row r="21" spans="1:17" ht="15.75" thickBot="1" x14ac:dyDescent="0.3">
      <c r="A21" s="17"/>
      <c r="B21" s="7">
        <v>4</v>
      </c>
      <c r="C21">
        <v>0</v>
      </c>
      <c r="D21">
        <f>1612*1223</f>
        <v>1971476</v>
      </c>
      <c r="E21">
        <f>713.27*541.15</f>
        <v>385986.06049999996</v>
      </c>
      <c r="F21">
        <f t="shared" si="13"/>
        <v>0.38598606049999995</v>
      </c>
      <c r="G21">
        <v>0</v>
      </c>
      <c r="H21">
        <v>0</v>
      </c>
      <c r="I21">
        <f t="shared" si="14"/>
        <v>0</v>
      </c>
      <c r="J21">
        <v>0</v>
      </c>
      <c r="K21">
        <f>C21/F21</f>
        <v>0</v>
      </c>
      <c r="O21">
        <v>8.5820000000000007</v>
      </c>
      <c r="P21">
        <f t="shared" si="15"/>
        <v>8.5820000000000011E-3</v>
      </c>
      <c r="Q21">
        <f t="shared" si="16"/>
        <v>0.11187250000000001</v>
      </c>
    </row>
    <row r="22" spans="1:17" ht="15.75" thickBot="1" x14ac:dyDescent="0.3">
      <c r="A22" s="18"/>
      <c r="B22" s="7">
        <v>5</v>
      </c>
      <c r="C22">
        <v>14</v>
      </c>
      <c r="D22">
        <f>1566*1172</f>
        <v>1835352</v>
      </c>
      <c r="E22">
        <f>692.92*518.58</f>
        <v>359334.45360000001</v>
      </c>
      <c r="F22">
        <f t="shared" si="13"/>
        <v>0.35933445359999999</v>
      </c>
      <c r="G22">
        <v>30068.917000000001</v>
      </c>
      <c r="H22">
        <v>2147.7800000000002</v>
      </c>
      <c r="I22">
        <f t="shared" si="14"/>
        <v>2.1477800000000002E-3</v>
      </c>
      <c r="J22">
        <v>8.3680000000000003</v>
      </c>
      <c r="K22">
        <f>C22/F22</f>
        <v>38.960917495499523</v>
      </c>
      <c r="O22">
        <v>21.21</v>
      </c>
      <c r="P22">
        <f t="shared" si="15"/>
        <v>2.121E-2</v>
      </c>
      <c r="Q22">
        <f t="shared" si="16"/>
        <v>0.2764875</v>
      </c>
    </row>
    <row r="23" spans="1:17" ht="15.75" thickBot="1" x14ac:dyDescent="0.3">
      <c r="A23" s="7" t="s">
        <v>18</v>
      </c>
      <c r="B23" s="4"/>
      <c r="C23" s="6">
        <f>AVERAGE(C18:C22)</f>
        <v>3</v>
      </c>
      <c r="D23" s="4">
        <f t="shared" ref="D23:E23" si="17">AVERAGE(D18:D22)</f>
        <v>1861051</v>
      </c>
      <c r="E23" s="4">
        <f t="shared" si="17"/>
        <v>362758.43654319999</v>
      </c>
      <c r="F23" s="4">
        <f>AVERAGE(F18:F22)</f>
        <v>0.36275843654320006</v>
      </c>
      <c r="G23" s="4">
        <f t="shared" ref="G23:H23" si="18">AVERAGE(G18:G22)</f>
        <v>6225.5461999999998</v>
      </c>
      <c r="H23" s="4">
        <f t="shared" si="18"/>
        <v>641.31880000000001</v>
      </c>
      <c r="I23" s="4">
        <f>AVERAGE(I18:I22)</f>
        <v>6.4131880000000004E-4</v>
      </c>
      <c r="J23" s="4">
        <f>AVERAGE(J18:J22)</f>
        <v>1.7286000000000001</v>
      </c>
      <c r="K23" s="4">
        <f>AVERAGE(K18:K22)</f>
        <v>8.3122551850113844</v>
      </c>
      <c r="M23" s="4" t="e">
        <f t="shared" ref="M23:Q23" si="19">AVERAGE(M18:M22)</f>
        <v>#DIV/0!</v>
      </c>
      <c r="N23" s="4" t="e">
        <f t="shared" si="19"/>
        <v>#DIV/0!</v>
      </c>
      <c r="O23" s="4">
        <f t="shared" si="19"/>
        <v>9.7778000000000009</v>
      </c>
      <c r="P23" s="4">
        <f t="shared" si="19"/>
        <v>9.7777999999999997E-3</v>
      </c>
      <c r="Q23" s="4">
        <f t="shared" si="19"/>
        <v>0.12746060714285715</v>
      </c>
    </row>
    <row r="24" spans="1:17" ht="15.75" thickBot="1" x14ac:dyDescent="0.3"/>
    <row r="25" spans="1:17" ht="15.75" thickBot="1" x14ac:dyDescent="0.3">
      <c r="A25" s="7" t="s">
        <v>31</v>
      </c>
      <c r="B25" s="4" t="s">
        <v>1</v>
      </c>
      <c r="C25" s="1" t="s">
        <v>2</v>
      </c>
      <c r="D25" s="1" t="s">
        <v>3</v>
      </c>
      <c r="E25" s="1" t="s">
        <v>4</v>
      </c>
      <c r="F25" s="1" t="s">
        <v>5</v>
      </c>
      <c r="G25" s="1" t="s">
        <v>6</v>
      </c>
      <c r="H25" s="2" t="s">
        <v>7</v>
      </c>
      <c r="I25" s="2" t="s">
        <v>8</v>
      </c>
      <c r="J25" s="3" t="s">
        <v>9</v>
      </c>
      <c r="K25" s="1" t="s">
        <v>10</v>
      </c>
      <c r="M25" s="8" t="s">
        <v>12</v>
      </c>
      <c r="N25" s="8" t="s">
        <v>13</v>
      </c>
      <c r="O25" s="8" t="s">
        <v>14</v>
      </c>
      <c r="P25" s="8" t="s">
        <v>15</v>
      </c>
      <c r="Q25" s="8" t="s">
        <v>16</v>
      </c>
    </row>
    <row r="26" spans="1:17" ht="15.75" thickBot="1" x14ac:dyDescent="0.3">
      <c r="A26" s="16" t="s">
        <v>32</v>
      </c>
      <c r="B26" s="7">
        <v>1</v>
      </c>
      <c r="C26">
        <v>0</v>
      </c>
      <c r="D26">
        <f>1581*1215</f>
        <v>1920915</v>
      </c>
      <c r="E26">
        <f>685.479*534.476</f>
        <v>366372.07400399999</v>
      </c>
      <c r="F26">
        <f>E26/1000000</f>
        <v>0.36637207400400001</v>
      </c>
      <c r="G26">
        <v>0</v>
      </c>
      <c r="H26">
        <v>0</v>
      </c>
      <c r="I26">
        <f>H26/1000000</f>
        <v>0</v>
      </c>
      <c r="J26">
        <v>0</v>
      </c>
      <c r="K26">
        <f>C26/F26</f>
        <v>0</v>
      </c>
      <c r="O26">
        <v>10.621</v>
      </c>
      <c r="P26">
        <f>O26/1000</f>
        <v>1.0621E-2</v>
      </c>
      <c r="Q26">
        <f>(P26*365)/28</f>
        <v>0.13845232142857142</v>
      </c>
    </row>
    <row r="27" spans="1:17" ht="15.75" thickBot="1" x14ac:dyDescent="0.3">
      <c r="A27" s="17"/>
      <c r="B27" s="7">
        <v>2</v>
      </c>
      <c r="C27">
        <v>0</v>
      </c>
      <c r="D27">
        <f>1597*1198</f>
        <v>1913206</v>
      </c>
      <c r="E27">
        <f>702.517*526.998</f>
        <v>370225.05396600004</v>
      </c>
      <c r="F27">
        <f t="shared" ref="F27:F30" si="20">E27/1000000</f>
        <v>0.37022505396600003</v>
      </c>
      <c r="G27">
        <v>0</v>
      </c>
      <c r="H27">
        <v>0</v>
      </c>
      <c r="I27">
        <f t="shared" ref="I27:I30" si="21">H27/1000000</f>
        <v>0</v>
      </c>
      <c r="J27">
        <v>0</v>
      </c>
      <c r="K27">
        <f>C27/F27</f>
        <v>0</v>
      </c>
      <c r="O27">
        <v>4.3010000000000002</v>
      </c>
      <c r="P27">
        <f t="shared" ref="P27:P30" si="22">O27/1000</f>
        <v>4.3010000000000001E-3</v>
      </c>
      <c r="Q27">
        <f t="shared" ref="Q27:Q30" si="23">(P27*365)/28</f>
        <v>5.6066607142857147E-2</v>
      </c>
    </row>
    <row r="28" spans="1:17" ht="15.75" thickBot="1" x14ac:dyDescent="0.3">
      <c r="A28" s="17"/>
      <c r="B28" s="7">
        <v>3</v>
      </c>
      <c r="C28">
        <v>0</v>
      </c>
      <c r="D28">
        <f>1612*1222</f>
        <v>1969864</v>
      </c>
      <c r="E28">
        <f>709.115*537.555</f>
        <v>381188.31382499996</v>
      </c>
      <c r="F28">
        <f t="shared" si="20"/>
        <v>0.38118831382499996</v>
      </c>
      <c r="G28">
        <v>0</v>
      </c>
      <c r="H28">
        <v>0</v>
      </c>
      <c r="I28">
        <f t="shared" si="21"/>
        <v>0</v>
      </c>
      <c r="J28">
        <v>0</v>
      </c>
      <c r="K28">
        <f>C28/F28</f>
        <v>0</v>
      </c>
      <c r="O28">
        <v>5.1040000000000001</v>
      </c>
      <c r="P28">
        <f t="shared" si="22"/>
        <v>5.104E-3</v>
      </c>
      <c r="Q28">
        <f t="shared" si="23"/>
        <v>6.6534285714285712E-2</v>
      </c>
    </row>
    <row r="29" spans="1:17" ht="15.75" thickBot="1" x14ac:dyDescent="0.3">
      <c r="A29" s="17"/>
      <c r="B29" s="7">
        <v>4</v>
      </c>
      <c r="C29">
        <v>0</v>
      </c>
      <c r="D29">
        <f>1612*1222</f>
        <v>1969864</v>
      </c>
      <c r="E29">
        <f>709.115*537.555</f>
        <v>381188.31382499996</v>
      </c>
      <c r="F29">
        <f t="shared" si="20"/>
        <v>0.38118831382499996</v>
      </c>
      <c r="G29">
        <v>0</v>
      </c>
      <c r="H29">
        <v>0</v>
      </c>
      <c r="I29">
        <f t="shared" si="21"/>
        <v>0</v>
      </c>
      <c r="J29">
        <v>0</v>
      </c>
      <c r="K29">
        <f>C29/F29</f>
        <v>0</v>
      </c>
      <c r="O29">
        <v>5.3140000000000001</v>
      </c>
      <c r="P29">
        <f t="shared" si="22"/>
        <v>5.3140000000000001E-3</v>
      </c>
      <c r="Q29">
        <f t="shared" si="23"/>
        <v>6.9271785714285716E-2</v>
      </c>
    </row>
    <row r="30" spans="1:17" ht="15.75" thickBot="1" x14ac:dyDescent="0.3">
      <c r="A30" s="18"/>
      <c r="B30" s="7">
        <v>5</v>
      </c>
      <c r="C30">
        <v>0</v>
      </c>
      <c r="D30">
        <f>1612*1221</f>
        <v>1968252</v>
      </c>
      <c r="E30">
        <f>709.115*537.115</f>
        <v>380876.30322500004</v>
      </c>
      <c r="F30">
        <f t="shared" si="20"/>
        <v>0.38087630322500005</v>
      </c>
      <c r="G30">
        <v>0</v>
      </c>
      <c r="H30">
        <v>0</v>
      </c>
      <c r="I30">
        <f t="shared" si="21"/>
        <v>0</v>
      </c>
      <c r="J30">
        <v>0</v>
      </c>
      <c r="K30">
        <f>C30/F30</f>
        <v>0</v>
      </c>
      <c r="O30">
        <v>6.0019999999999998</v>
      </c>
      <c r="P30">
        <f t="shared" si="22"/>
        <v>6.0019999999999995E-3</v>
      </c>
      <c r="Q30">
        <f t="shared" si="23"/>
        <v>7.8240357142857139E-2</v>
      </c>
    </row>
    <row r="31" spans="1:17" ht="15.75" thickBot="1" x14ac:dyDescent="0.3">
      <c r="A31" s="7" t="s">
        <v>18</v>
      </c>
      <c r="B31" s="4"/>
      <c r="C31" s="6">
        <f>AVERAGE(C26:C30)</f>
        <v>0</v>
      </c>
      <c r="D31" s="4">
        <f t="shared" ref="D31:E31" si="24">AVERAGE(D26:D30)</f>
        <v>1948420.2</v>
      </c>
      <c r="E31" s="4">
        <f t="shared" si="24"/>
        <v>375970.01176899998</v>
      </c>
      <c r="F31" s="4">
        <f>AVERAGE(F26:F30)</f>
        <v>0.37597001176900002</v>
      </c>
      <c r="G31" s="4">
        <f t="shared" ref="G31:H31" si="25">AVERAGE(G26:G30)</f>
        <v>0</v>
      </c>
      <c r="H31" s="4">
        <f t="shared" si="25"/>
        <v>0</v>
      </c>
      <c r="I31" s="4">
        <f>AVERAGE(I26:I30)</f>
        <v>0</v>
      </c>
      <c r="J31" s="4">
        <f>AVERAGE(J26:J30)</f>
        <v>0</v>
      </c>
      <c r="K31" s="4">
        <f>AVERAGE(K26:K30)</f>
        <v>0</v>
      </c>
      <c r="M31" s="4" t="e">
        <f t="shared" ref="M31:Q31" si="26">AVERAGE(M26:M30)</f>
        <v>#DIV/0!</v>
      </c>
      <c r="N31" s="4" t="e">
        <f t="shared" si="26"/>
        <v>#DIV/0!</v>
      </c>
      <c r="O31" s="4">
        <f t="shared" si="26"/>
        <v>6.2683999999999997</v>
      </c>
      <c r="P31" s="4">
        <f t="shared" si="26"/>
        <v>6.2684000000000004E-3</v>
      </c>
      <c r="Q31" s="4">
        <f t="shared" si="26"/>
        <v>8.1713071428571427E-2</v>
      </c>
    </row>
    <row r="32" spans="1:17" ht="15.75" thickBot="1" x14ac:dyDescent="0.3"/>
    <row r="33" spans="1:17" ht="15.75" thickBot="1" x14ac:dyDescent="0.3">
      <c r="A33" s="7" t="s">
        <v>31</v>
      </c>
      <c r="B33" s="4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2" t="s">
        <v>7</v>
      </c>
      <c r="I33" s="2" t="s">
        <v>8</v>
      </c>
      <c r="J33" s="3" t="s">
        <v>9</v>
      </c>
      <c r="K33" s="1" t="s">
        <v>10</v>
      </c>
      <c r="M33" s="8" t="s">
        <v>12</v>
      </c>
      <c r="N33" s="8" t="s">
        <v>13</v>
      </c>
      <c r="O33" s="8" t="s">
        <v>14</v>
      </c>
      <c r="P33" s="8" t="s">
        <v>15</v>
      </c>
      <c r="Q33" s="8" t="s">
        <v>16</v>
      </c>
    </row>
    <row r="34" spans="1:17" ht="15.75" thickBot="1" x14ac:dyDescent="0.3">
      <c r="A34" s="16" t="s">
        <v>33</v>
      </c>
      <c r="B34" s="7">
        <v>1</v>
      </c>
      <c r="C34">
        <v>0</v>
      </c>
      <c r="D34">
        <f>1609*1217</f>
        <v>1958153</v>
      </c>
      <c r="E34">
        <f>707.796*535.356</f>
        <v>378922.83537600003</v>
      </c>
      <c r="F34">
        <f>E34/1000000</f>
        <v>0.37892283537600002</v>
      </c>
      <c r="G34">
        <v>0</v>
      </c>
      <c r="H34">
        <v>0</v>
      </c>
      <c r="I34">
        <f>H34/1000000</f>
        <v>0</v>
      </c>
      <c r="J34">
        <v>0</v>
      </c>
      <c r="K34">
        <f>C34/F34</f>
        <v>0</v>
      </c>
      <c r="O34">
        <v>5.5060000000000002</v>
      </c>
      <c r="P34">
        <f>O34/1000</f>
        <v>5.5060000000000005E-3</v>
      </c>
      <c r="Q34">
        <f>(P34*365)/28</f>
        <v>7.1774642857142856E-2</v>
      </c>
    </row>
    <row r="35" spans="1:17" ht="15.75" thickBot="1" x14ac:dyDescent="0.3">
      <c r="A35" s="17"/>
      <c r="B35" s="7">
        <v>2</v>
      </c>
      <c r="C35">
        <v>0</v>
      </c>
      <c r="D35">
        <f>1605*1217</f>
        <v>1953285</v>
      </c>
      <c r="E35">
        <f>706.036*535.356</f>
        <v>377980.60881599999</v>
      </c>
      <c r="F35">
        <f t="shared" ref="F35:F38" si="27">E35/1000000</f>
        <v>0.37798060881599999</v>
      </c>
      <c r="G35">
        <v>0</v>
      </c>
      <c r="H35">
        <v>0</v>
      </c>
      <c r="I35">
        <f t="shared" ref="I35:I38" si="28">H35/1000000</f>
        <v>0</v>
      </c>
      <c r="J35">
        <v>0</v>
      </c>
      <c r="K35">
        <f>C35/F35</f>
        <v>0</v>
      </c>
      <c r="O35">
        <v>4.8230000000000004</v>
      </c>
      <c r="P35">
        <f t="shared" ref="P35:P38" si="29">O35/1000</f>
        <v>4.823E-3</v>
      </c>
      <c r="Q35">
        <f t="shared" ref="Q35:Q38" si="30">(P35*365)/28</f>
        <v>6.2871250000000004E-2</v>
      </c>
    </row>
    <row r="36" spans="1:17" ht="15.75" thickBot="1" x14ac:dyDescent="0.3">
      <c r="A36" s="17"/>
      <c r="B36" s="7">
        <v>3</v>
      </c>
      <c r="C36">
        <v>0</v>
      </c>
      <c r="D36">
        <f>1615*1224</f>
        <v>1976760</v>
      </c>
      <c r="E36">
        <f>710.435*538.435</f>
        <v>382523.06922499993</v>
      </c>
      <c r="F36">
        <f t="shared" si="27"/>
        <v>0.3825230692249999</v>
      </c>
      <c r="G36">
        <v>0</v>
      </c>
      <c r="H36">
        <v>0</v>
      </c>
      <c r="I36">
        <f t="shared" si="28"/>
        <v>0</v>
      </c>
      <c r="J36">
        <v>0</v>
      </c>
      <c r="K36">
        <f>C36/F36</f>
        <v>0</v>
      </c>
      <c r="O36">
        <v>5.5650000000000004</v>
      </c>
      <c r="P36">
        <f t="shared" si="29"/>
        <v>5.5650000000000005E-3</v>
      </c>
      <c r="Q36">
        <f t="shared" si="30"/>
        <v>7.2543750000000004E-2</v>
      </c>
    </row>
    <row r="37" spans="1:17" ht="15.75" thickBot="1" x14ac:dyDescent="0.3">
      <c r="A37" s="17"/>
      <c r="B37" s="7">
        <v>4</v>
      </c>
      <c r="C37">
        <v>0</v>
      </c>
      <c r="D37">
        <f>1560*1209</f>
        <v>1886040</v>
      </c>
      <c r="E37">
        <f>686.241*531.837</f>
        <v>364968.35471699998</v>
      </c>
      <c r="F37">
        <f t="shared" si="27"/>
        <v>0.36496835471699995</v>
      </c>
      <c r="G37">
        <v>0</v>
      </c>
      <c r="H37">
        <v>0</v>
      </c>
      <c r="I37">
        <f t="shared" si="28"/>
        <v>0</v>
      </c>
      <c r="J37">
        <v>0</v>
      </c>
      <c r="K37">
        <f>C37/F37</f>
        <v>0</v>
      </c>
      <c r="O37">
        <v>3.9380000000000002</v>
      </c>
      <c r="P37">
        <f t="shared" si="29"/>
        <v>3.9380000000000005E-3</v>
      </c>
      <c r="Q37">
        <f t="shared" si="30"/>
        <v>5.1334642857142863E-2</v>
      </c>
    </row>
    <row r="38" spans="1:17" ht="15.75" thickBot="1" x14ac:dyDescent="0.3">
      <c r="A38" s="18"/>
      <c r="B38" s="7">
        <v>5</v>
      </c>
      <c r="C38">
        <v>0</v>
      </c>
      <c r="D38">
        <f>1609*1220</f>
        <v>1962980</v>
      </c>
      <c r="E38">
        <f>711.95*539.82</f>
        <v>384324.84900000005</v>
      </c>
      <c r="F38">
        <f t="shared" si="27"/>
        <v>0.38432484900000002</v>
      </c>
      <c r="G38">
        <v>0</v>
      </c>
      <c r="H38">
        <v>0</v>
      </c>
      <c r="I38">
        <f t="shared" si="28"/>
        <v>0</v>
      </c>
      <c r="J38">
        <v>0</v>
      </c>
      <c r="K38">
        <f>C38/F38</f>
        <v>0</v>
      </c>
      <c r="O38">
        <v>10.996</v>
      </c>
      <c r="P38">
        <f t="shared" si="29"/>
        <v>1.0996000000000001E-2</v>
      </c>
      <c r="Q38">
        <f t="shared" si="30"/>
        <v>0.14334071428571429</v>
      </c>
    </row>
    <row r="39" spans="1:17" ht="15.75" thickBot="1" x14ac:dyDescent="0.3">
      <c r="A39" s="7" t="s">
        <v>18</v>
      </c>
      <c r="B39" s="4"/>
      <c r="C39" s="6">
        <f>AVERAGE(C34:C38)</f>
        <v>0</v>
      </c>
      <c r="D39" s="4">
        <f t="shared" ref="D39:E39" si="31">AVERAGE(D34:D38)</f>
        <v>1947443.6</v>
      </c>
      <c r="E39" s="4">
        <f t="shared" si="31"/>
        <v>377743.94342679996</v>
      </c>
      <c r="F39" s="4">
        <f>AVERAGE(F34:F38)</f>
        <v>0.37774394342679996</v>
      </c>
      <c r="G39" s="4">
        <f t="shared" ref="G39:H39" si="32">AVERAGE(G34:G38)</f>
        <v>0</v>
      </c>
      <c r="H39" s="4">
        <f t="shared" si="32"/>
        <v>0</v>
      </c>
      <c r="I39" s="4">
        <f>AVERAGE(I34:I38)</f>
        <v>0</v>
      </c>
      <c r="J39" s="4">
        <f>AVERAGE(J34:J38)</f>
        <v>0</v>
      </c>
      <c r="K39" s="4">
        <f>AVERAGE(K34:K38)</f>
        <v>0</v>
      </c>
      <c r="M39" s="4" t="e">
        <f t="shared" ref="M39:Q39" si="33">AVERAGE(M34:M38)</f>
        <v>#DIV/0!</v>
      </c>
      <c r="N39" s="4" t="e">
        <f t="shared" si="33"/>
        <v>#DIV/0!</v>
      </c>
      <c r="O39" s="4">
        <f t="shared" si="33"/>
        <v>6.1656000000000004</v>
      </c>
      <c r="P39" s="4">
        <f t="shared" si="33"/>
        <v>6.1656000000000002E-3</v>
      </c>
      <c r="Q39" s="4">
        <f t="shared" si="33"/>
        <v>8.0373E-2</v>
      </c>
    </row>
    <row r="40" spans="1:17" ht="15.75" thickBot="1" x14ac:dyDescent="0.3"/>
    <row r="41" spans="1:17" ht="15.75" thickBot="1" x14ac:dyDescent="0.3">
      <c r="A41" s="7" t="s">
        <v>31</v>
      </c>
      <c r="B41" s="4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2" t="s">
        <v>7</v>
      </c>
      <c r="I41" s="2" t="s">
        <v>8</v>
      </c>
      <c r="J41" s="3" t="s">
        <v>9</v>
      </c>
      <c r="K41" s="1" t="s">
        <v>10</v>
      </c>
      <c r="M41" s="8" t="s">
        <v>12</v>
      </c>
      <c r="N41" s="8" t="s">
        <v>13</v>
      </c>
      <c r="O41" s="8" t="s">
        <v>14</v>
      </c>
      <c r="P41" s="8" t="s">
        <v>15</v>
      </c>
      <c r="Q41" s="8" t="s">
        <v>16</v>
      </c>
    </row>
    <row r="42" spans="1:17" ht="15.75" thickBot="1" x14ac:dyDescent="0.3">
      <c r="A42" s="16" t="s">
        <v>34</v>
      </c>
      <c r="B42" s="7">
        <v>1</v>
      </c>
      <c r="C42">
        <v>0</v>
      </c>
      <c r="D42">
        <f>1606*1220</f>
        <v>1959320</v>
      </c>
      <c r="E42">
        <f>706.476*536.675</f>
        <v>379148.00729999994</v>
      </c>
      <c r="F42">
        <f>E42/1000000</f>
        <v>0.37914800729999992</v>
      </c>
      <c r="G42">
        <v>0</v>
      </c>
      <c r="H42">
        <v>0</v>
      </c>
      <c r="I42">
        <f>H42/1000000</f>
        <v>0</v>
      </c>
      <c r="J42">
        <v>0</v>
      </c>
      <c r="K42">
        <f>C42/F42</f>
        <v>0</v>
      </c>
      <c r="O42">
        <v>4.5270000000000001</v>
      </c>
      <c r="P42">
        <f>O42/1000</f>
        <v>4.5269999999999998E-3</v>
      </c>
      <c r="Q42">
        <f>(P42*365)/28</f>
        <v>5.901267857142857E-2</v>
      </c>
    </row>
    <row r="43" spans="1:17" ht="15.75" thickBot="1" x14ac:dyDescent="0.3">
      <c r="A43" s="17"/>
      <c r="B43" s="7">
        <v>2</v>
      </c>
      <c r="C43">
        <v>0</v>
      </c>
      <c r="D43">
        <f>1614*1224</f>
        <v>1975536</v>
      </c>
      <c r="E43">
        <f>709.995*538.435</f>
        <v>382286.15782499994</v>
      </c>
      <c r="F43">
        <f t="shared" ref="F43:F46" si="34">E43/1000000</f>
        <v>0.38228615782499992</v>
      </c>
      <c r="G43">
        <v>0</v>
      </c>
      <c r="H43">
        <v>0</v>
      </c>
      <c r="I43">
        <f t="shared" ref="I43:I46" si="35">H43/1000000</f>
        <v>0</v>
      </c>
      <c r="J43">
        <v>0</v>
      </c>
      <c r="K43">
        <f>C43/F43</f>
        <v>0</v>
      </c>
      <c r="O43">
        <v>4.3529999999999998</v>
      </c>
      <c r="P43">
        <f t="shared" ref="P43:P46" si="36">O43/1000</f>
        <v>4.3530000000000001E-3</v>
      </c>
      <c r="Q43">
        <f t="shared" ref="Q43:Q46" si="37">(P43*365)/28</f>
        <v>5.6744464285714287E-2</v>
      </c>
    </row>
    <row r="44" spans="1:17" ht="15.75" thickBot="1" x14ac:dyDescent="0.3">
      <c r="A44" s="17"/>
      <c r="B44" s="7">
        <v>3</v>
      </c>
      <c r="C44">
        <v>0</v>
      </c>
      <c r="D44">
        <f>1442*1221</f>
        <v>1760682</v>
      </c>
      <c r="E44">
        <f>634.333*537.115</f>
        <v>340709.76929500001</v>
      </c>
      <c r="F44">
        <f t="shared" si="34"/>
        <v>0.34070976929500002</v>
      </c>
      <c r="G44">
        <v>0</v>
      </c>
      <c r="H44">
        <v>0</v>
      </c>
      <c r="I44">
        <f t="shared" si="35"/>
        <v>0</v>
      </c>
      <c r="J44">
        <v>0</v>
      </c>
      <c r="K44">
        <f>C44/F44</f>
        <v>0</v>
      </c>
      <c r="O44">
        <v>5.423</v>
      </c>
      <c r="P44">
        <f t="shared" si="36"/>
        <v>5.4229999999999999E-3</v>
      </c>
      <c r="Q44">
        <f t="shared" si="37"/>
        <v>7.0692678571428566E-2</v>
      </c>
    </row>
    <row r="45" spans="1:17" ht="15.75" thickBot="1" x14ac:dyDescent="0.3">
      <c r="A45" s="17"/>
      <c r="B45" s="7">
        <v>4</v>
      </c>
      <c r="C45">
        <v>0</v>
      </c>
      <c r="D45">
        <f>1550*1221</f>
        <v>1892550</v>
      </c>
      <c r="E45">
        <f>681.842*537.115</f>
        <v>366227.56582999998</v>
      </c>
      <c r="F45">
        <f t="shared" si="34"/>
        <v>0.36622756582999999</v>
      </c>
      <c r="G45">
        <v>0</v>
      </c>
      <c r="H45">
        <v>0</v>
      </c>
      <c r="I45">
        <f t="shared" si="35"/>
        <v>0</v>
      </c>
      <c r="J45">
        <v>0</v>
      </c>
      <c r="K45">
        <f>C45/F45</f>
        <v>0</v>
      </c>
      <c r="O45">
        <v>4.3689999999999998</v>
      </c>
      <c r="P45">
        <f t="shared" si="36"/>
        <v>4.3689999999999996E-3</v>
      </c>
      <c r="Q45">
        <f t="shared" si="37"/>
        <v>5.6953035714285713E-2</v>
      </c>
    </row>
    <row r="46" spans="1:17" ht="15.75" thickBot="1" x14ac:dyDescent="0.3">
      <c r="A46" s="18"/>
      <c r="B46" s="7">
        <v>5</v>
      </c>
      <c r="C46">
        <v>0</v>
      </c>
      <c r="D46">
        <f>1613*1219</f>
        <v>1966247</v>
      </c>
      <c r="E46">
        <f>713.72*539.38</f>
        <v>384966.29360000003</v>
      </c>
      <c r="F46">
        <f t="shared" si="34"/>
        <v>0.38496629360000001</v>
      </c>
      <c r="G46">
        <v>0</v>
      </c>
      <c r="H46">
        <v>0</v>
      </c>
      <c r="I46">
        <f t="shared" si="35"/>
        <v>0</v>
      </c>
      <c r="J46">
        <v>0</v>
      </c>
      <c r="K46">
        <f>C46/F46</f>
        <v>0</v>
      </c>
      <c r="O46">
        <v>9.8849999999999998</v>
      </c>
      <c r="P46">
        <f t="shared" si="36"/>
        <v>9.8849999999999997E-3</v>
      </c>
      <c r="Q46">
        <f t="shared" si="37"/>
        <v>0.12885803571428572</v>
      </c>
    </row>
    <row r="47" spans="1:17" ht="15.75" thickBot="1" x14ac:dyDescent="0.3">
      <c r="A47" s="7" t="s">
        <v>18</v>
      </c>
      <c r="B47" s="4"/>
      <c r="C47" s="6">
        <f>AVERAGE(C42:C46)</f>
        <v>0</v>
      </c>
      <c r="D47" s="4">
        <f t="shared" ref="D47:E47" si="38">AVERAGE(D42:D46)</f>
        <v>1910867</v>
      </c>
      <c r="E47" s="4">
        <f t="shared" si="38"/>
        <v>370667.55876999995</v>
      </c>
      <c r="F47" s="4">
        <f>AVERAGE(F42:F46)</f>
        <v>0.37066755877000002</v>
      </c>
      <c r="G47" s="4">
        <f t="shared" ref="G47:H47" si="39">AVERAGE(G42:G46)</f>
        <v>0</v>
      </c>
      <c r="H47" s="4">
        <f t="shared" si="39"/>
        <v>0</v>
      </c>
      <c r="I47" s="4">
        <f>AVERAGE(I42:I46)</f>
        <v>0</v>
      </c>
      <c r="J47" s="4">
        <f>AVERAGE(J42:J46)</f>
        <v>0</v>
      </c>
      <c r="K47" s="4">
        <f>AVERAGE(K42:K46)</f>
        <v>0</v>
      </c>
      <c r="M47" s="4" t="e">
        <f t="shared" ref="M47:Q47" si="40">AVERAGE(M42:M46)</f>
        <v>#DIV/0!</v>
      </c>
      <c r="N47" s="4" t="e">
        <f t="shared" si="40"/>
        <v>#DIV/0!</v>
      </c>
      <c r="O47" s="4">
        <f t="shared" si="40"/>
        <v>5.7113999999999994</v>
      </c>
      <c r="P47" s="4">
        <f t="shared" si="40"/>
        <v>5.7114000000000002E-3</v>
      </c>
      <c r="Q47" s="4">
        <f t="shared" si="40"/>
        <v>7.4452178571428579E-2</v>
      </c>
    </row>
    <row r="48" spans="1:17" ht="15.75" thickBot="1" x14ac:dyDescent="0.3"/>
    <row r="49" spans="3:17" ht="16.5" thickBot="1" x14ac:dyDescent="0.3">
      <c r="C49" s="23" t="s">
        <v>22</v>
      </c>
      <c r="D49" s="24"/>
      <c r="E49" s="11"/>
      <c r="H49">
        <f>AVERAGE(H3,H14,H18,H22)</f>
        <v>1500.5455000000002</v>
      </c>
      <c r="J49">
        <f>AVERAGE(J2:J6,J10:J14,J18:J22,J26:J30,J34:J38,J42:J46)</f>
        <v>1.3173333333333335</v>
      </c>
      <c r="O49">
        <f>AVERAGE(O2:O6,O10:O14,O18:O22,O26:O30,O34:O38,O42:O46)</f>
        <v>7.3164000000000007</v>
      </c>
      <c r="Q49">
        <f>AVERAGE(Q2:Q6,Q10:Q14,Q18:Q22,Q26:Q30,Q34:Q38,Q42:Q46)</f>
        <v>9.5374499999999987E-2</v>
      </c>
    </row>
    <row r="50" spans="3:17" x14ac:dyDescent="0.25">
      <c r="C50" s="25" t="s">
        <v>23</v>
      </c>
      <c r="D50" s="26"/>
      <c r="E50" s="5"/>
    </row>
    <row r="51" spans="3:17" ht="15.75" thickBot="1" x14ac:dyDescent="0.3">
      <c r="C51" s="27" t="s">
        <v>24</v>
      </c>
      <c r="D51" s="28"/>
      <c r="E51" s="5"/>
    </row>
    <row r="52" spans="3:17" x14ac:dyDescent="0.25">
      <c r="C52" s="21" t="s">
        <v>25</v>
      </c>
      <c r="D52" s="22"/>
      <c r="E52" s="5"/>
    </row>
    <row r="53" spans="3:17" x14ac:dyDescent="0.25">
      <c r="C53" s="29" t="s">
        <v>26</v>
      </c>
      <c r="D53" s="30"/>
      <c r="E53" s="5"/>
    </row>
    <row r="54" spans="3:17" ht="15.75" thickBot="1" x14ac:dyDescent="0.3">
      <c r="C54" s="19" t="s">
        <v>27</v>
      </c>
      <c r="D54" s="20"/>
      <c r="E54" s="5"/>
    </row>
    <row r="55" spans="3:17" ht="15.75" thickBot="1" x14ac:dyDescent="0.3">
      <c r="C55" s="21" t="s">
        <v>28</v>
      </c>
      <c r="D55" s="22"/>
      <c r="E55" s="5"/>
    </row>
    <row r="56" spans="3:17" ht="15.75" thickBot="1" x14ac:dyDescent="0.3">
      <c r="C56" s="21" t="s">
        <v>29</v>
      </c>
      <c r="D56" s="22"/>
      <c r="E56" s="5"/>
      <c r="G56" s="12"/>
      <c r="H56" s="12"/>
    </row>
    <row r="57" spans="3:17" ht="15.75" thickBot="1" x14ac:dyDescent="0.3">
      <c r="C57" s="15" t="s">
        <v>30</v>
      </c>
      <c r="D57" s="13">
        <v>0.19578576490285401</v>
      </c>
      <c r="E57" s="5"/>
    </row>
    <row r="58" spans="3:17" x14ac:dyDescent="0.25">
      <c r="C58" s="5"/>
      <c r="D58" s="5"/>
      <c r="E58" s="5"/>
    </row>
    <row r="59" spans="3:17" x14ac:dyDescent="0.25">
      <c r="C59" s="5"/>
      <c r="D59" s="5"/>
    </row>
  </sheetData>
  <mergeCells count="14">
    <mergeCell ref="C55:D55"/>
    <mergeCell ref="C56:D56"/>
    <mergeCell ref="C49:D49"/>
    <mergeCell ref="C50:D50"/>
    <mergeCell ref="C51:D51"/>
    <mergeCell ref="C52:D52"/>
    <mergeCell ref="C53:D53"/>
    <mergeCell ref="C54:D54"/>
    <mergeCell ref="A42:A46"/>
    <mergeCell ref="A2:A6"/>
    <mergeCell ref="A10:A14"/>
    <mergeCell ref="A18:A22"/>
    <mergeCell ref="A26:A30"/>
    <mergeCell ref="A34:A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B21B8-42F6-4803-8D2E-6B8B79FA01FA}">
  <dimension ref="A1:G25"/>
  <sheetViews>
    <sheetView workbookViewId="0">
      <selection activeCell="B26" sqref="B26"/>
    </sheetView>
  </sheetViews>
  <sheetFormatPr defaultRowHeight="15" x14ac:dyDescent="0.25"/>
  <cols>
    <col min="2" max="2" width="18.5703125" bestFit="1" customWidth="1"/>
    <col min="3" max="3" width="17.140625" bestFit="1" customWidth="1"/>
    <col min="4" max="4" width="8.7109375" customWidth="1"/>
    <col min="6" max="6" width="9.140625" bestFit="1" customWidth="1"/>
    <col min="7" max="7" width="11.140625" bestFit="1" customWidth="1"/>
  </cols>
  <sheetData>
    <row r="1" spans="1:7" ht="15.75" thickBot="1" x14ac:dyDescent="0.3">
      <c r="A1" s="1" t="s">
        <v>17</v>
      </c>
      <c r="B1" s="14" t="s">
        <v>4</v>
      </c>
      <c r="C1" s="1" t="s">
        <v>5</v>
      </c>
      <c r="D1" s="5"/>
    </row>
    <row r="2" spans="1:7" ht="16.5" thickBot="1" x14ac:dyDescent="0.3">
      <c r="A2" t="s">
        <v>40</v>
      </c>
      <c r="F2" s="23" t="s">
        <v>22</v>
      </c>
      <c r="G2" s="24"/>
    </row>
    <row r="3" spans="1:7" x14ac:dyDescent="0.25">
      <c r="A3">
        <v>1</v>
      </c>
      <c r="B3">
        <v>1909.5070000000001</v>
      </c>
      <c r="C3">
        <f>B3/1000000</f>
        <v>1.909507E-3</v>
      </c>
      <c r="F3" s="25" t="s">
        <v>23</v>
      </c>
      <c r="G3" s="26"/>
    </row>
    <row r="4" spans="1:7" ht="15.75" thickBot="1" x14ac:dyDescent="0.3">
      <c r="A4" t="s">
        <v>41</v>
      </c>
      <c r="F4" s="27" t="s">
        <v>24</v>
      </c>
      <c r="G4" s="28"/>
    </row>
    <row r="5" spans="1:7" x14ac:dyDescent="0.25">
      <c r="A5">
        <v>1</v>
      </c>
      <c r="B5">
        <v>655.10199999999998</v>
      </c>
      <c r="C5">
        <f t="shared" ref="C5:C25" si="0">B5/1000000</f>
        <v>6.5510199999999996E-4</v>
      </c>
      <c r="F5" s="5"/>
      <c r="G5" s="5"/>
    </row>
    <row r="6" spans="1:7" x14ac:dyDescent="0.25">
      <c r="A6">
        <v>2</v>
      </c>
      <c r="B6">
        <v>657.06</v>
      </c>
      <c r="C6">
        <f t="shared" si="0"/>
        <v>6.5705999999999989E-4</v>
      </c>
      <c r="F6" s="5"/>
      <c r="G6" s="5"/>
    </row>
    <row r="7" spans="1:7" x14ac:dyDescent="0.25">
      <c r="A7">
        <v>3</v>
      </c>
      <c r="B7">
        <v>1273.0050000000001</v>
      </c>
      <c r="C7">
        <f t="shared" si="0"/>
        <v>1.273005E-3</v>
      </c>
    </row>
    <row r="8" spans="1:7" x14ac:dyDescent="0.25">
      <c r="A8">
        <v>4</v>
      </c>
      <c r="B8">
        <v>959.15899999999999</v>
      </c>
      <c r="C8">
        <f t="shared" si="0"/>
        <v>9.5915900000000001E-4</v>
      </c>
    </row>
    <row r="9" spans="1:7" x14ac:dyDescent="0.25">
      <c r="A9" t="s">
        <v>42</v>
      </c>
    </row>
    <row r="10" spans="1:7" x14ac:dyDescent="0.25">
      <c r="A10">
        <v>1</v>
      </c>
      <c r="B10">
        <v>1058.8140000000001</v>
      </c>
      <c r="C10">
        <f t="shared" si="0"/>
        <v>1.0588140000000002E-3</v>
      </c>
    </row>
    <row r="11" spans="1:7" x14ac:dyDescent="0.25">
      <c r="A11" t="s">
        <v>43</v>
      </c>
    </row>
    <row r="12" spans="1:7" x14ac:dyDescent="0.25">
      <c r="A12">
        <v>1</v>
      </c>
      <c r="B12">
        <v>5751.8209999999999</v>
      </c>
      <c r="C12">
        <f t="shared" si="0"/>
        <v>5.7518209999999998E-3</v>
      </c>
    </row>
    <row r="13" spans="1:7" x14ac:dyDescent="0.25">
      <c r="A13">
        <v>2</v>
      </c>
      <c r="B13">
        <v>1253.23</v>
      </c>
      <c r="C13">
        <f t="shared" si="0"/>
        <v>1.2532299999999999E-3</v>
      </c>
    </row>
    <row r="14" spans="1:7" x14ac:dyDescent="0.25">
      <c r="A14">
        <v>3</v>
      </c>
      <c r="B14">
        <v>731.06700000000001</v>
      </c>
      <c r="C14">
        <f t="shared" si="0"/>
        <v>7.3106699999999996E-4</v>
      </c>
    </row>
    <row r="15" spans="1:7" x14ac:dyDescent="0.25">
      <c r="A15">
        <v>4</v>
      </c>
      <c r="B15">
        <v>1647.9359999999999</v>
      </c>
      <c r="C15">
        <f t="shared" si="0"/>
        <v>1.647936E-3</v>
      </c>
    </row>
    <row r="16" spans="1:7" x14ac:dyDescent="0.25">
      <c r="A16">
        <v>5</v>
      </c>
      <c r="B16">
        <v>4662.268</v>
      </c>
      <c r="C16">
        <f t="shared" si="0"/>
        <v>4.6622679999999998E-3</v>
      </c>
    </row>
    <row r="17" spans="1:3" x14ac:dyDescent="0.25">
      <c r="A17">
        <v>6</v>
      </c>
      <c r="B17">
        <v>1362.675</v>
      </c>
      <c r="C17">
        <f t="shared" si="0"/>
        <v>1.362675E-3</v>
      </c>
    </row>
    <row r="18" spans="1:3" x14ac:dyDescent="0.25">
      <c r="A18">
        <v>7</v>
      </c>
      <c r="B18">
        <v>2893.9229999999998</v>
      </c>
      <c r="C18">
        <f t="shared" si="0"/>
        <v>2.8939229999999996E-3</v>
      </c>
    </row>
    <row r="19" spans="1:3" x14ac:dyDescent="0.25">
      <c r="A19">
        <v>8</v>
      </c>
      <c r="B19">
        <v>3667.0839999999998</v>
      </c>
      <c r="C19">
        <f t="shared" si="0"/>
        <v>3.6670839999999997E-3</v>
      </c>
    </row>
    <row r="20" spans="1:3" x14ac:dyDescent="0.25">
      <c r="A20">
        <v>9</v>
      </c>
      <c r="B20">
        <v>1904.221</v>
      </c>
      <c r="C20">
        <f t="shared" si="0"/>
        <v>1.904221E-3</v>
      </c>
    </row>
    <row r="21" spans="1:3" x14ac:dyDescent="0.25">
      <c r="A21">
        <v>10</v>
      </c>
      <c r="B21">
        <v>1471.1410000000001</v>
      </c>
      <c r="C21">
        <f t="shared" si="0"/>
        <v>1.471141E-3</v>
      </c>
    </row>
    <row r="22" spans="1:3" x14ac:dyDescent="0.25">
      <c r="A22">
        <v>11</v>
      </c>
      <c r="B22">
        <v>1117.942</v>
      </c>
      <c r="C22">
        <f t="shared" si="0"/>
        <v>1.117942E-3</v>
      </c>
    </row>
    <row r="23" spans="1:3" x14ac:dyDescent="0.25">
      <c r="A23">
        <v>12</v>
      </c>
      <c r="B23">
        <v>1664.97</v>
      </c>
      <c r="C23">
        <f t="shared" si="0"/>
        <v>1.66497E-3</v>
      </c>
    </row>
    <row r="24" spans="1:3" x14ac:dyDescent="0.25">
      <c r="A24">
        <v>13</v>
      </c>
      <c r="B24">
        <v>1161.9939999999999</v>
      </c>
      <c r="C24">
        <f t="shared" si="0"/>
        <v>1.161994E-3</v>
      </c>
    </row>
    <row r="25" spans="1:3" x14ac:dyDescent="0.25">
      <c r="A25">
        <v>14</v>
      </c>
      <c r="B25">
        <v>778.64400000000001</v>
      </c>
      <c r="C25">
        <f t="shared" si="0"/>
        <v>7.7864399999999999E-4</v>
      </c>
    </row>
  </sheetData>
  <mergeCells count="3">
    <mergeCell ref="F2:G2"/>
    <mergeCell ref="F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Control_Coupons</vt:lpstr>
      <vt:lpstr>Control_Pits</vt:lpstr>
      <vt:lpstr>Test_Coupons</vt:lpstr>
      <vt:lpstr>Test_Pits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2023-02-16T10:01:48Z</dcterms:created>
  <dcterms:modified xsi:type="dcterms:W3CDTF">2024-07-17T13:22:39Z</dcterms:modified>
  <cp:category/>
  <cp:contentStatus/>
</cp:coreProperties>
</file>